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Y:\HCHD FYE 2023\Budget 2023\"/>
    </mc:Choice>
  </mc:AlternateContent>
  <xr:revisionPtr revIDLastSave="0" documentId="13_ncr:1_{E956E778-7DC1-4505-8F67-F87D52D8F88C}" xr6:coauthVersionLast="47" xr6:coauthVersionMax="47" xr10:uidLastSave="{00000000-0000-0000-0000-000000000000}"/>
  <bookViews>
    <workbookView xWindow="-120" yWindow="-120" windowWidth="29040" windowHeight="15840" tabRatio="855" xr2:uid="{00000000-000D-0000-FFFF-FFFF00000000}"/>
  </bookViews>
  <sheets>
    <sheet name="2023 HCHD Budget" sheetId="63" r:id="rId1"/>
    <sheet name="Budget Comparison" sheetId="65" r:id="rId2"/>
    <sheet name="IGT estimates" sheetId="66" r:id="rId3"/>
    <sheet name="Tax Revenue" sheetId="58" r:id="rId4"/>
    <sheet name="InterestExp" sheetId="55" r:id="rId5"/>
    <sheet name="Depreciation" sheetId="62" r:id="rId6"/>
    <sheet name="Appraisal Fees" sheetId="64" r:id="rId7"/>
    <sheet name="Brown &amp; Graham" sheetId="67" r:id="rId8"/>
  </sheets>
  <definedNames>
    <definedName name="_xlnm.Print_Area" localSheetId="1">'Budget Comparison'!$A$1:$E$36</definedName>
    <definedName name="_xlnm.Print_Area" localSheetId="2">'IGT estimates'!$A$1:$G$39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55" l="1"/>
  <c r="H8" i="63"/>
  <c r="Q29" i="63"/>
  <c r="Q19" i="63"/>
  <c r="Q18" i="63"/>
  <c r="P8" i="63"/>
  <c r="Q9" i="63"/>
  <c r="Q7" i="63"/>
  <c r="V7" i="63" l="1"/>
  <c r="T8" i="63"/>
  <c r="T12" i="63" s="1"/>
  <c r="S12" i="63"/>
  <c r="S16" i="63"/>
  <c r="T16" i="63"/>
  <c r="T33" i="63" s="1"/>
  <c r="T29" i="63"/>
  <c r="S31" i="63"/>
  <c r="S33" i="63" s="1"/>
  <c r="S35" i="63" s="1"/>
  <c r="T31" i="63"/>
  <c r="M25" i="58"/>
  <c r="Q8" i="63"/>
  <c r="G30" i="66"/>
  <c r="G29" i="66"/>
  <c r="G28" i="66"/>
  <c r="G27" i="66"/>
  <c r="G26" i="66"/>
  <c r="G25" i="66"/>
  <c r="G24" i="66"/>
  <c r="G23" i="66"/>
  <c r="G22" i="66"/>
  <c r="G21" i="66"/>
  <c r="G20" i="66"/>
  <c r="B20" i="66"/>
  <c r="G19" i="66"/>
  <c r="G32" i="66" s="1"/>
  <c r="D15" i="66"/>
  <c r="E15" i="66" s="1"/>
  <c r="D13" i="66"/>
  <c r="D16" i="66" s="1"/>
  <c r="E16" i="66" s="1"/>
  <c r="D12" i="66"/>
  <c r="E12" i="66" s="1"/>
  <c r="D10" i="66"/>
  <c r="E10" i="66" s="1"/>
  <c r="D9" i="66"/>
  <c r="E9" i="66" s="1"/>
  <c r="E8" i="66"/>
  <c r="E11" i="66" s="1"/>
  <c r="E14" i="66" s="1"/>
  <c r="E7" i="66"/>
  <c r="E6" i="66"/>
  <c r="D5" i="66"/>
  <c r="E5" i="66" s="1"/>
  <c r="E4" i="66"/>
  <c r="D3" i="66"/>
  <c r="D8" i="66" s="1"/>
  <c r="D11" i="66" s="1"/>
  <c r="D14" i="66" s="1"/>
  <c r="T35" i="63" l="1"/>
  <c r="F3" i="66"/>
  <c r="G3" i="66" s="1"/>
  <c r="F4" i="66" s="1"/>
  <c r="G4" i="66" s="1"/>
  <c r="F5" i="66" s="1"/>
  <c r="G5" i="66" s="1"/>
  <c r="F6" i="66" s="1"/>
  <c r="G6" i="66" s="1"/>
  <c r="F7" i="66" s="1"/>
  <c r="G7" i="66" s="1"/>
  <c r="F8" i="66" s="1"/>
  <c r="G8" i="66" s="1"/>
  <c r="F9" i="66" s="1"/>
  <c r="G9" i="66" s="1"/>
  <c r="F10" i="66" s="1"/>
  <c r="G10" i="66" s="1"/>
  <c r="F11" i="66" s="1"/>
  <c r="G11" i="66" s="1"/>
  <c r="F12" i="66" s="1"/>
  <c r="G12" i="66" s="1"/>
  <c r="F13" i="66" s="1"/>
  <c r="G13" i="66" s="1"/>
  <c r="F14" i="66" s="1"/>
  <c r="G14" i="66" s="1"/>
  <c r="F15" i="66" s="1"/>
  <c r="G15" i="66" s="1"/>
  <c r="F16" i="66" s="1"/>
  <c r="G16" i="66" s="1"/>
  <c r="E13" i="66"/>
  <c r="E28" i="65" l="1"/>
  <c r="E27" i="65"/>
  <c r="E26" i="65"/>
  <c r="E20" i="65"/>
  <c r="E19" i="65"/>
  <c r="E11" i="65"/>
  <c r="E10" i="65"/>
  <c r="B10" i="65" l="1"/>
  <c r="B11" i="65"/>
  <c r="B19" i="65"/>
  <c r="B20" i="65"/>
  <c r="B26" i="65"/>
  <c r="B27" i="65"/>
  <c r="B28" i="65"/>
  <c r="B33" i="65"/>
  <c r="B35" i="65"/>
  <c r="E4" i="55"/>
  <c r="F7" i="58" l="1"/>
  <c r="C30" i="63" l="1"/>
  <c r="D30" i="63"/>
  <c r="E30" i="63"/>
  <c r="F30" i="63"/>
  <c r="G30" i="63"/>
  <c r="H30" i="63"/>
  <c r="I30" i="63"/>
  <c r="J30" i="63"/>
  <c r="K30" i="63"/>
  <c r="L30" i="63"/>
  <c r="M30" i="63"/>
  <c r="B30" i="63"/>
  <c r="P16" i="63"/>
  <c r="Q20" i="63"/>
  <c r="Q21" i="63"/>
  <c r="Q28" i="63"/>
  <c r="Q10" i="63"/>
  <c r="G11" i="62" l="1"/>
  <c r="B28" i="63" s="1"/>
  <c r="C28" i="63" s="1"/>
  <c r="D28" i="63" s="1"/>
  <c r="E28" i="63" s="1"/>
  <c r="F28" i="63" s="1"/>
  <c r="G28" i="63" s="1"/>
  <c r="H28" i="63" s="1"/>
  <c r="I28" i="63" s="1"/>
  <c r="J28" i="63" s="1"/>
  <c r="K28" i="63" s="1"/>
  <c r="L28" i="63" s="1"/>
  <c r="M28" i="63" s="1"/>
  <c r="E17" i="55"/>
  <c r="E16" i="55"/>
  <c r="F16" i="55" s="1"/>
  <c r="E15" i="55"/>
  <c r="E14" i="55"/>
  <c r="E13" i="55"/>
  <c r="E12" i="55"/>
  <c r="E11" i="55"/>
  <c r="E10" i="55"/>
  <c r="F10" i="55" s="1"/>
  <c r="F23" i="63" s="1"/>
  <c r="E9" i="55"/>
  <c r="E8" i="55"/>
  <c r="E7" i="55"/>
  <c r="E6" i="55"/>
  <c r="E5" i="55"/>
  <c r="L23" i="63" l="1"/>
  <c r="F17" i="55"/>
  <c r="M23" i="63" s="1"/>
  <c r="F5" i="55"/>
  <c r="F6" i="55" s="1"/>
  <c r="F11" i="55"/>
  <c r="G23" i="63" s="1"/>
  <c r="F12" i="55" l="1"/>
  <c r="F13" i="55" s="1"/>
  <c r="F7" i="55"/>
  <c r="B23" i="63"/>
  <c r="H23" i="63" l="1"/>
  <c r="F14" i="55"/>
  <c r="I23" i="63"/>
  <c r="F8" i="55"/>
  <c r="C23" i="63"/>
  <c r="R12" i="63"/>
  <c r="D17" i="58"/>
  <c r="D18" i="58" s="1"/>
  <c r="F9" i="55" l="1"/>
  <c r="E23" i="63" s="1"/>
  <c r="D23" i="63"/>
  <c r="F15" i="55"/>
  <c r="K23" i="63" s="1"/>
  <c r="J23" i="63"/>
  <c r="N29" i="63"/>
  <c r="B30" i="65" s="1"/>
  <c r="E30" i="65" s="1"/>
  <c r="Q24" i="63" l="1"/>
  <c r="Q25" i="63"/>
  <c r="V25" i="63" s="1"/>
  <c r="Q15" i="63"/>
  <c r="V29" i="63"/>
  <c r="Q30" i="63"/>
  <c r="Q27" i="63"/>
  <c r="Q26" i="63"/>
  <c r="V26" i="63" s="1"/>
  <c r="Q23" i="63"/>
  <c r="Q14" i="63"/>
  <c r="C10" i="58" l="1"/>
  <c r="N25" i="63" l="1"/>
  <c r="N26" i="63"/>
  <c r="N27" i="63"/>
  <c r="C16" i="63" l="1"/>
  <c r="D16" i="63"/>
  <c r="E16" i="63"/>
  <c r="F16" i="63"/>
  <c r="G16" i="63"/>
  <c r="H16" i="63"/>
  <c r="I16" i="63"/>
  <c r="J16" i="63"/>
  <c r="K16" i="63"/>
  <c r="L16" i="63"/>
  <c r="M16" i="63"/>
  <c r="B16" i="63"/>
  <c r="R31" i="63" l="1"/>
  <c r="V30" i="63"/>
  <c r="V28" i="63"/>
  <c r="V27" i="63"/>
  <c r="V24" i="63"/>
  <c r="N24" i="63"/>
  <c r="B25" i="65" s="1"/>
  <c r="E25" i="65" s="1"/>
  <c r="N23" i="63"/>
  <c r="B24" i="65" s="1"/>
  <c r="E24" i="65" s="1"/>
  <c r="V22" i="63"/>
  <c r="N22" i="63"/>
  <c r="B23" i="65" s="1"/>
  <c r="E23" i="65" s="1"/>
  <c r="V20" i="63"/>
  <c r="N20" i="63"/>
  <c r="B21" i="65" s="1"/>
  <c r="E21" i="65" s="1"/>
  <c r="V19" i="63"/>
  <c r="N19" i="63"/>
  <c r="P31" i="63"/>
  <c r="P33" i="63" s="1"/>
  <c r="N18" i="63"/>
  <c r="Q17" i="63"/>
  <c r="V17" i="63" s="1"/>
  <c r="N17" i="63"/>
  <c r="B18" i="65" s="1"/>
  <c r="E18" i="65" s="1"/>
  <c r="V15" i="63"/>
  <c r="R16" i="63"/>
  <c r="V10" i="63"/>
  <c r="N10" i="63"/>
  <c r="V9" i="63"/>
  <c r="N9" i="63"/>
  <c r="V8" i="63"/>
  <c r="N7" i="63"/>
  <c r="B8" i="65" s="1"/>
  <c r="E8" i="65" s="1"/>
  <c r="M31" i="63"/>
  <c r="M33" i="63" s="1"/>
  <c r="R33" i="63" l="1"/>
  <c r="R35" i="63" s="1"/>
  <c r="D31" i="63"/>
  <c r="D33" i="63" s="1"/>
  <c r="F31" i="63"/>
  <c r="F33" i="63" s="1"/>
  <c r="H31" i="63"/>
  <c r="H33" i="63" s="1"/>
  <c r="J31" i="63"/>
  <c r="J33" i="63" s="1"/>
  <c r="L31" i="63"/>
  <c r="L33" i="63" s="1"/>
  <c r="C31" i="63"/>
  <c r="C33" i="63" s="1"/>
  <c r="E31" i="63"/>
  <c r="E33" i="63" s="1"/>
  <c r="G31" i="63"/>
  <c r="G33" i="63" s="1"/>
  <c r="I31" i="63"/>
  <c r="I33" i="63" s="1"/>
  <c r="K31" i="63"/>
  <c r="K33" i="63" s="1"/>
  <c r="V14" i="63"/>
  <c r="V16" i="63" s="1"/>
  <c r="B31" i="63"/>
  <c r="B33" i="63" s="1"/>
  <c r="Q16" i="63"/>
  <c r="V23" i="63"/>
  <c r="N8" i="63"/>
  <c r="B9" i="65" s="1"/>
  <c r="E9" i="65" s="1"/>
  <c r="N15" i="63"/>
  <c r="B16" i="65" s="1"/>
  <c r="E16" i="65" s="1"/>
  <c r="V21" i="63"/>
  <c r="N21" i="63"/>
  <c r="B22" i="65" s="1"/>
  <c r="E22" i="65" s="1"/>
  <c r="N28" i="63"/>
  <c r="B29" i="65" s="1"/>
  <c r="E29" i="65" s="1"/>
  <c r="N30" i="63"/>
  <c r="B31" i="65" s="1"/>
  <c r="E31" i="65" s="1"/>
  <c r="V18" i="63"/>
  <c r="V31" i="63" l="1"/>
  <c r="V33" i="63" s="1"/>
  <c r="N14" i="63"/>
  <c r="N31" i="63"/>
  <c r="B32" i="65" s="1"/>
  <c r="E32" i="65" s="1"/>
  <c r="Q31" i="63"/>
  <c r="Q33" i="63" s="1"/>
  <c r="N16" i="63" l="1"/>
  <c r="B17" i="65" s="1"/>
  <c r="E17" i="65" s="1"/>
  <c r="B15" i="65"/>
  <c r="E15" i="65" s="1"/>
  <c r="N33" i="63" l="1"/>
  <c r="B34" i="65" s="1"/>
  <c r="E34" i="65" s="1"/>
  <c r="B26" i="58"/>
  <c r="C26" i="58"/>
  <c r="D26" i="58"/>
  <c r="E26" i="58"/>
  <c r="F26" i="58"/>
  <c r="G26" i="58"/>
  <c r="H26" i="58"/>
  <c r="I26" i="58"/>
  <c r="J26" i="58"/>
  <c r="K26" i="58"/>
  <c r="L26" i="58"/>
  <c r="A26" i="58"/>
  <c r="F10" i="58" l="1"/>
  <c r="D10" i="58"/>
  <c r="M28" i="58" s="1"/>
  <c r="A28" i="58" s="1"/>
  <c r="B11" i="63" s="1"/>
  <c r="F11" i="58" l="1"/>
  <c r="C11" i="58"/>
  <c r="G7" i="58"/>
  <c r="C18" i="58"/>
  <c r="L28" i="58" l="1"/>
  <c r="M11" i="63" s="1"/>
  <c r="C28" i="58"/>
  <c r="D11" i="63" s="1"/>
  <c r="E28" i="58"/>
  <c r="F11" i="63" s="1"/>
  <c r="G28" i="58"/>
  <c r="H11" i="63" s="1"/>
  <c r="I28" i="58"/>
  <c r="J11" i="63" s="1"/>
  <c r="K28" i="58"/>
  <c r="L11" i="63" s="1"/>
  <c r="B28" i="58"/>
  <c r="C11" i="63" s="1"/>
  <c r="D28" i="58"/>
  <c r="E11" i="63" s="1"/>
  <c r="F28" i="58"/>
  <c r="G11" i="63" s="1"/>
  <c r="H28" i="58"/>
  <c r="I11" i="63" s="1"/>
  <c r="J28" i="58"/>
  <c r="K11" i="63" s="1"/>
  <c r="G10" i="58"/>
  <c r="G11" i="58" s="1"/>
  <c r="B12" i="63" l="1"/>
  <c r="B35" i="63" s="1"/>
  <c r="M12" i="63"/>
  <c r="M35" i="63" s="1"/>
  <c r="K12" i="63"/>
  <c r="K35" i="63" s="1"/>
  <c r="G12" i="63"/>
  <c r="G35" i="63" s="1"/>
  <c r="L12" i="63"/>
  <c r="L35" i="63" s="1"/>
  <c r="H12" i="63"/>
  <c r="H35" i="63" s="1"/>
  <c r="D12" i="63"/>
  <c r="D35" i="63" s="1"/>
  <c r="I12" i="63"/>
  <c r="I35" i="63" s="1"/>
  <c r="E12" i="63"/>
  <c r="E35" i="63" s="1"/>
  <c r="J12" i="63"/>
  <c r="J35" i="63" s="1"/>
  <c r="F12" i="63"/>
  <c r="F35" i="63" s="1"/>
  <c r="C19" i="58"/>
  <c r="Q11" i="63" l="1"/>
  <c r="C12" i="63"/>
  <c r="N11" i="63"/>
  <c r="N12" i="63" l="1"/>
  <c r="B12" i="65"/>
  <c r="E12" i="65" s="1"/>
  <c r="P12" i="63"/>
  <c r="P35" i="63" s="1"/>
  <c r="V11" i="63"/>
  <c r="V12" i="63" s="1"/>
  <c r="V35" i="63" s="1"/>
  <c r="Q12" i="63"/>
  <c r="Q35" i="63" s="1"/>
  <c r="C35" i="63"/>
  <c r="N35" i="63" l="1"/>
  <c r="B36" i="65" s="1"/>
  <c r="E36" i="65" s="1"/>
  <c r="B13" i="65"/>
  <c r="E13" i="65" s="1"/>
</calcChain>
</file>

<file path=xl/sharedStrings.xml><?xml version="1.0" encoding="utf-8"?>
<sst xmlns="http://schemas.openxmlformats.org/spreadsheetml/2006/main" count="234" uniqueCount="143">
  <si>
    <t>Budget</t>
  </si>
  <si>
    <t>Oct</t>
  </si>
  <si>
    <t>Nov</t>
  </si>
  <si>
    <t>Dec</t>
  </si>
  <si>
    <t>Jan</t>
  </si>
  <si>
    <t>Feb</t>
  </si>
  <si>
    <t>Mar</t>
  </si>
  <si>
    <t>Apr</t>
  </si>
  <si>
    <t>May</t>
  </si>
  <si>
    <t>Jun</t>
  </si>
  <si>
    <t>Jul</t>
  </si>
  <si>
    <t>Aug</t>
  </si>
  <si>
    <t>Sep</t>
  </si>
  <si>
    <t>Contribution Margin</t>
  </si>
  <si>
    <t>--------------</t>
  </si>
  <si>
    <t>Hutchinson County Hospital District</t>
  </si>
  <si>
    <t>Total Expenses</t>
  </si>
  <si>
    <t>Other Revenue</t>
  </si>
  <si>
    <t>Tax Revenue</t>
  </si>
  <si>
    <t>Total Net Revenue</t>
  </si>
  <si>
    <t xml:space="preserve">     Insurance</t>
  </si>
  <si>
    <t>Total Departmental expense</t>
  </si>
  <si>
    <t>Sub-Total District Expense</t>
  </si>
  <si>
    <t>IGT Transfers</t>
  </si>
  <si>
    <t>Rental Income-Building</t>
  </si>
  <si>
    <t>Audit and Cost Report</t>
  </si>
  <si>
    <t>Board Relations</t>
  </si>
  <si>
    <t>Interest Expense</t>
  </si>
  <si>
    <t>Travel&amp; lodging</t>
  </si>
  <si>
    <t>Legal Services</t>
  </si>
  <si>
    <t>Depreciation</t>
  </si>
  <si>
    <t>Apprasal Fees</t>
  </si>
  <si>
    <t>Board Elections</t>
  </si>
  <si>
    <t>Current Rate</t>
  </si>
  <si>
    <t>Effective Rate</t>
  </si>
  <si>
    <t>Tax Rate</t>
  </si>
  <si>
    <t>Revenue</t>
  </si>
  <si>
    <t>Change</t>
  </si>
  <si>
    <t>New Appraised Value</t>
  </si>
  <si>
    <t>Charity/Indigent Care</t>
  </si>
  <si>
    <t>1/2 in between Maximum Operating &amp; Effective Rates</t>
  </si>
  <si>
    <t>Annulized</t>
  </si>
  <si>
    <t xml:space="preserve">Actual </t>
  </si>
  <si>
    <t>HUTCHINSON  HUTCHINSON COUNTY HOSPITAL DISTRICT</t>
  </si>
  <si>
    <t>Cost</t>
  </si>
  <si>
    <t>Group</t>
  </si>
  <si>
    <t>Beginning</t>
  </si>
  <si>
    <t>Acquisitions</t>
  </si>
  <si>
    <t>Disposals</t>
  </si>
  <si>
    <t>Ending</t>
  </si>
  <si>
    <t>Prior</t>
  </si>
  <si>
    <t>Additions</t>
  </si>
  <si>
    <t>Reductions</t>
  </si>
  <si>
    <t>Grand Total</t>
  </si>
  <si>
    <t>Advertising - HCHD</t>
  </si>
  <si>
    <t>Average</t>
  </si>
  <si>
    <t>Bank/Other Fees</t>
  </si>
  <si>
    <t>Membership Dues &amp; Subscriptions</t>
  </si>
  <si>
    <t>Equipment Rental</t>
  </si>
  <si>
    <t>Actual (Oct-Jul)</t>
  </si>
  <si>
    <t>Asbestoes Expense</t>
  </si>
  <si>
    <t>Other Expenses</t>
  </si>
  <si>
    <t>Brown &amp; Graham</t>
  </si>
  <si>
    <t>Roll Back Rate</t>
  </si>
  <si>
    <t xml:space="preserve">     Cont Serv-Non-Medical</t>
  </si>
  <si>
    <t>Series A</t>
  </si>
  <si>
    <t>Series B</t>
  </si>
  <si>
    <t>Series C</t>
  </si>
  <si>
    <t>Total accrued interest</t>
  </si>
  <si>
    <t>Interest for Month</t>
  </si>
  <si>
    <t>Monthly Depreciation</t>
  </si>
  <si>
    <t>Rental Income-Ambulance Building</t>
  </si>
  <si>
    <t>Comparison to PY Budget</t>
  </si>
  <si>
    <t>Proposed Budget</t>
  </si>
  <si>
    <t>Final Budget</t>
  </si>
  <si>
    <t>Increase/(Decrease)</t>
  </si>
  <si>
    <t>Date of IGT</t>
  </si>
  <si>
    <t>Date of Payment</t>
  </si>
  <si>
    <t>Payment</t>
  </si>
  <si>
    <t>GPCH Payment Opportunity</t>
  </si>
  <si>
    <t xml:space="preserve">Estimated Hutchinson IGT </t>
  </si>
  <si>
    <t>Hutchinson District Budget for Community Support</t>
  </si>
  <si>
    <t>Hutchinson District Cash Position, Assuming all IGTs Made</t>
  </si>
  <si>
    <t>3/1/21-8/31/21</t>
  </si>
  <si>
    <t>UHRIP Payments for March 2021 - August 2021</t>
  </si>
  <si>
    <t>DY9 DSRIP Payment for October 2020 Reporting</t>
  </si>
  <si>
    <t>DY10 Advance UC Payment</t>
  </si>
  <si>
    <t xml:space="preserve">DY5 Withheld UC </t>
  </si>
  <si>
    <t>DY6 Withheld UC</t>
  </si>
  <si>
    <t>9/1/21-2/28/22</t>
  </si>
  <si>
    <t>UHRIP Payments for September 2021-February 2022</t>
  </si>
  <si>
    <t>DY10 DSRIP Payment for April 2021 Reporting</t>
  </si>
  <si>
    <t>9/31/2021</t>
  </si>
  <si>
    <t>DY10 Final UC Payment</t>
  </si>
  <si>
    <t>3/1/22-9/31/22</t>
  </si>
  <si>
    <t>UHRIP Payments for March 2022 - August 2022</t>
  </si>
  <si>
    <t>DY10 DSRIP Payment for October 2021 Reporting</t>
  </si>
  <si>
    <t>DY11 Advance UC Payment</t>
  </si>
  <si>
    <t>9/1/22-2/28/23</t>
  </si>
  <si>
    <t>UHRIP Payments for September 2022-February 2023</t>
  </si>
  <si>
    <t>DY11 DSRIP Payment for April 2022 Reporting</t>
  </si>
  <si>
    <t>9/31/2022</t>
  </si>
  <si>
    <t>DY11 Final UC Payment</t>
  </si>
  <si>
    <t>Inputs</t>
  </si>
  <si>
    <t>Percentage</t>
  </si>
  <si>
    <t>Hutchinson Net Income</t>
  </si>
  <si>
    <t>FFY 2020 FMAP</t>
  </si>
  <si>
    <t>FFY 2020 EFMAP</t>
  </si>
  <si>
    <t>FFY 2021 FMAP</t>
  </si>
  <si>
    <t>FY 2022 FMAP</t>
  </si>
  <si>
    <t>DY9 UC Advance Payment</t>
  </si>
  <si>
    <t>DY8 Category C Carryforwards</t>
  </si>
  <si>
    <t>DY9 DSRIP Allocation</t>
  </si>
  <si>
    <t>DY10 DSRIP Allocation</t>
  </si>
  <si>
    <t>Total DY10 UC Payment</t>
  </si>
  <si>
    <t>Footnotes</t>
  </si>
  <si>
    <t>(1) Assumes GPCH will receive 100% of UC entitlement without any haircut.</t>
  </si>
  <si>
    <t>(2) Disregards $250,000 buffer</t>
  </si>
  <si>
    <t>(3) UHRIP Payments are an estimate based on actuarial calculations, but will fluctuate based on volume</t>
  </si>
  <si>
    <t>Annual</t>
  </si>
  <si>
    <t>(4) Assumes GPCH achieves 50% of DY8 Category C carryforwards, all remaining measures, and reports all measures as soon as possible.</t>
  </si>
  <si>
    <t>(5) Assumes enhanced FMAP throughout December 31, 2020.</t>
  </si>
  <si>
    <t>Budget for FYE 9-30-23</t>
  </si>
  <si>
    <t>2019-2022</t>
  </si>
  <si>
    <t>FYE: 9/30/2023</t>
  </si>
  <si>
    <t>Book Group Summary   10/01/22 -  9/30/23</t>
  </si>
  <si>
    <t xml:space="preserve">Hello Dina, </t>
  </si>
  <si>
    <t xml:space="preserve">As I am sure you are aware – the costs that we are all encountering continue to increase at such a rapid pace, that they are becoming increasingly difficult to keep up with, requiring us to continue to evaluate or fees in order to continue to provide our clients with the level of service that have grown accustomed to.  At the same time, we realize the difficulties our clients continue to face in all industries.  </t>
  </si>
  <si>
    <t xml:space="preserve">As a result of the current circumstances our fees have generally been increasing in the range of 10% as compared to the prior year.  Although this is the case – I also recognize that we did increase the District’s fees in the prior year, so for the renewal period beginning in October 2022, I am requesting that we increase the fee by 5%  - to $1,325 per month.  </t>
  </si>
  <si>
    <t xml:space="preserve">If you have any questions or would like to discuss this proposal further, please feel free to give me a call and I would be happy to discuss with you.  </t>
  </si>
  <si>
    <t xml:space="preserve">Thanks and have a good afternoon.  </t>
  </si>
  <si>
    <t>Danny</t>
  </si>
  <si>
    <t>Danny Woods, CPA</t>
  </si>
  <si>
    <t>Shareholder</t>
  </si>
  <si>
    <t>Brown, Graham &amp; Company, P.C.</t>
  </si>
  <si>
    <t>7431 Continental Parkway</t>
  </si>
  <si>
    <t>P.O. Box 20210</t>
  </si>
  <si>
    <t>Amarillo, Texas 79114</t>
  </si>
  <si>
    <t>(806) 355-8241 Office</t>
  </si>
  <si>
    <t>(806) 331-4856 Direct</t>
  </si>
  <si>
    <t>(806) 626-2355 Cell</t>
  </si>
  <si>
    <t>Email: dwoods@bgc-cpa.com</t>
  </si>
  <si>
    <t>Website: www.bgc-cpa.com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</si>
</sst>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000000_);_(&quot;$&quot;* \(#,##0.000000\);_(&quot;$&quot;* &quot;-&quot;??_);_(@_)"/>
    <numFmt numFmtId="167" formatCode="&quot;$&quot;#,##0"/>
    <numFmt numFmtId="168" formatCode="&quot;$&quot;#,##0.00"/>
  </numFmts>
  <fonts count="23" x14ac:knownFonts="1">
    <font>
      <sz val="10"/>
      <name val="Arial"/>
    </font>
    <font>
      <sz val="10"/>
      <name val="Arial"/>
      <family val="2"/>
    </font>
    <font>
      <b/>
      <sz val="10"/>
      <name val="Arial"/>
      <family val="2"/>
    </font>
    <font>
      <b/>
      <sz val="10"/>
      <color indexed="10"/>
      <name val="Arial"/>
      <family val="2"/>
    </font>
    <font>
      <sz val="10"/>
      <color indexed="10"/>
      <name val="Arial"/>
      <family val="2"/>
    </font>
    <font>
      <sz val="10"/>
      <name val="Arial"/>
      <family val="2"/>
    </font>
    <font>
      <u val="singleAccounting"/>
      <sz val="10"/>
      <name val="Arial"/>
      <family val="2"/>
    </font>
    <font>
      <b/>
      <u val="singleAccounting"/>
      <sz val="10"/>
      <name val="Arial"/>
      <family val="2"/>
    </font>
    <font>
      <b/>
      <sz val="11"/>
      <color theme="1"/>
      <name val="Calibri"/>
      <family val="2"/>
      <scheme val="minor"/>
    </font>
    <font>
      <u/>
      <sz val="10"/>
      <name val="Arial"/>
      <family val="2"/>
    </font>
    <font>
      <sz val="14"/>
      <color theme="1"/>
      <name val="Arial"/>
      <family val="2"/>
    </font>
    <font>
      <b/>
      <sz val="18"/>
      <color theme="1"/>
      <name val="Arial"/>
      <family val="2"/>
    </font>
    <font>
      <b/>
      <sz val="18"/>
      <color theme="1"/>
      <name val="Calibri"/>
      <family val="2"/>
      <scheme val="minor"/>
    </font>
    <font>
      <b/>
      <u/>
      <sz val="10"/>
      <name val="Arial"/>
      <family val="2"/>
    </font>
    <font>
      <sz val="11"/>
      <name val="Calibri"/>
      <family val="2"/>
      <scheme val="minor"/>
    </font>
    <font>
      <i/>
      <sz val="11"/>
      <name val="Calibri"/>
      <family val="2"/>
      <scheme val="minor"/>
    </font>
    <font>
      <sz val="11"/>
      <color rgb="FF000000"/>
      <name val="Calibri"/>
      <family val="2"/>
    </font>
    <font>
      <u/>
      <sz val="11"/>
      <color theme="1"/>
      <name val="Calibri"/>
      <family val="2"/>
      <scheme val="minor"/>
    </font>
    <font>
      <sz val="10"/>
      <name val="Montserrat"/>
    </font>
    <font>
      <b/>
      <sz val="14"/>
      <color rgb="FF1F3864"/>
      <name val="Montserrat"/>
    </font>
    <font>
      <b/>
      <sz val="12"/>
      <color rgb="FF1F3864"/>
      <name val="Montserrat"/>
    </font>
    <font>
      <b/>
      <sz val="11"/>
      <color rgb="FF1F3864"/>
      <name val="Montserrat"/>
    </font>
    <font>
      <u/>
      <sz val="10"/>
      <color theme="10"/>
      <name val="Arial"/>
      <family val="2"/>
    </font>
  </fonts>
  <fills count="7">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s>
  <borders count="25">
    <border>
      <left/>
      <right/>
      <top/>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cellStyleXfs>
  <cellXfs count="132">
    <xf numFmtId="0" fontId="0" fillId="0" borderId="0" xfId="0"/>
    <xf numFmtId="0" fontId="2" fillId="0" borderId="0" xfId="0" applyFont="1"/>
    <xf numFmtId="164" fontId="1" fillId="0" borderId="0" xfId="1" applyNumberFormat="1"/>
    <xf numFmtId="164" fontId="2" fillId="0" borderId="0" xfId="0" applyNumberFormat="1" applyFont="1"/>
    <xf numFmtId="164" fontId="1" fillId="0" borderId="0" xfId="1" applyNumberFormat="1" applyFill="1"/>
    <xf numFmtId="164" fontId="1" fillId="0" borderId="0" xfId="1" quotePrefix="1" applyNumberFormat="1" applyFont="1" applyFill="1"/>
    <xf numFmtId="0" fontId="0" fillId="0" borderId="0" xfId="0" applyFill="1"/>
    <xf numFmtId="164" fontId="0" fillId="0" borderId="0" xfId="0" applyNumberFormat="1" applyFill="1"/>
    <xf numFmtId="165" fontId="0" fillId="0" borderId="0" xfId="3" applyNumberFormat="1" applyFont="1"/>
    <xf numFmtId="17" fontId="0" fillId="0" borderId="0" xfId="0" applyNumberFormat="1"/>
    <xf numFmtId="165" fontId="0" fillId="0" borderId="0" xfId="0" applyNumberFormat="1"/>
    <xf numFmtId="0" fontId="5" fillId="0" borderId="0" xfId="0" applyFont="1" applyFill="1"/>
    <xf numFmtId="164" fontId="4" fillId="0" borderId="0" xfId="1" applyNumberFormat="1" applyFont="1" applyFill="1"/>
    <xf numFmtId="37" fontId="0" fillId="0" borderId="0" xfId="0" applyNumberFormat="1" applyFill="1"/>
    <xf numFmtId="164" fontId="2" fillId="0" borderId="0" xfId="0" applyNumberFormat="1" applyFont="1" applyFill="1"/>
    <xf numFmtId="0" fontId="2" fillId="0" borderId="0" xfId="0" applyFont="1" applyFill="1"/>
    <xf numFmtId="0" fontId="2" fillId="0" borderId="0" xfId="0" applyFont="1" applyFill="1" applyAlignment="1">
      <alignment horizontal="center"/>
    </xf>
    <xf numFmtId="0" fontId="3" fillId="0" borderId="0" xfId="0" applyFont="1" applyFill="1" applyAlignment="1">
      <alignment horizontal="center"/>
    </xf>
    <xf numFmtId="0" fontId="5" fillId="0" borderId="0" xfId="0" applyFont="1" applyFill="1" applyAlignment="1">
      <alignment horizontal="left" indent="1"/>
    </xf>
    <xf numFmtId="164" fontId="7" fillId="0" borderId="0" xfId="0" applyNumberFormat="1" applyFont="1"/>
    <xf numFmtId="44" fontId="0" fillId="0" borderId="0" xfId="3" applyFont="1"/>
    <xf numFmtId="0" fontId="1" fillId="0" borderId="0" xfId="0" applyFont="1"/>
    <xf numFmtId="164" fontId="0" fillId="0" borderId="0" xfId="1" applyNumberFormat="1" applyFont="1"/>
    <xf numFmtId="9" fontId="0" fillId="0" borderId="0" xfId="2" applyFont="1"/>
    <xf numFmtId="164" fontId="0" fillId="0" borderId="0" xfId="1" applyNumberFormat="1" applyFont="1" applyFill="1"/>
    <xf numFmtId="166" fontId="0" fillId="0" borderId="0" xfId="3" applyNumberFormat="1" applyFont="1"/>
    <xf numFmtId="166" fontId="0" fillId="2" borderId="0" xfId="3" applyNumberFormat="1" applyFont="1" applyFill="1"/>
    <xf numFmtId="166" fontId="0" fillId="0" borderId="0" xfId="0" applyNumberFormat="1"/>
    <xf numFmtId="0" fontId="2" fillId="0" borderId="0" xfId="0" applyFont="1" applyAlignment="1">
      <alignment horizontal="center" wrapText="1"/>
    </xf>
    <xf numFmtId="164" fontId="6" fillId="0" borderId="0" xfId="1" applyNumberFormat="1" applyFont="1" applyFill="1"/>
    <xf numFmtId="164" fontId="9" fillId="0" borderId="0" xfId="1" applyNumberFormat="1" applyFont="1" applyFill="1"/>
    <xf numFmtId="164" fontId="2" fillId="0" borderId="0" xfId="1" applyNumberFormat="1" applyFont="1" applyFill="1"/>
    <xf numFmtId="164" fontId="6" fillId="0" borderId="0" xfId="0" applyNumberFormat="1" applyFont="1" applyFill="1"/>
    <xf numFmtId="49" fontId="10" fillId="0" borderId="0" xfId="0" quotePrefix="1" applyNumberFormat="1" applyFont="1"/>
    <xf numFmtId="49" fontId="10" fillId="0" borderId="0" xfId="0" applyNumberFormat="1" applyFont="1"/>
    <xf numFmtId="49" fontId="10" fillId="0" borderId="0" xfId="0" quotePrefix="1" applyNumberFormat="1" applyFont="1" applyAlignment="1">
      <alignment horizontal="right"/>
    </xf>
    <xf numFmtId="0" fontId="0" fillId="0" borderId="0" xfId="0" quotePrefix="1" applyAlignment="1">
      <alignment horizontal="center"/>
    </xf>
    <xf numFmtId="0" fontId="0" fillId="0" borderId="1" xfId="0" quotePrefix="1" applyBorder="1" applyAlignment="1">
      <alignment horizontal="center"/>
    </xf>
    <xf numFmtId="0" fontId="0" fillId="0" borderId="1" xfId="0" applyBorder="1"/>
    <xf numFmtId="49" fontId="8" fillId="0" borderId="0" xfId="0" applyNumberFormat="1" applyFont="1" applyAlignment="1">
      <alignment horizontal="right"/>
    </xf>
    <xf numFmtId="4" fontId="0" fillId="0" borderId="2" xfId="0" applyNumberFormat="1" applyBorder="1" applyAlignment="1">
      <alignment horizontal="right"/>
    </xf>
    <xf numFmtId="164" fontId="1" fillId="0" borderId="0" xfId="0" applyNumberFormat="1" applyFont="1" applyFill="1"/>
    <xf numFmtId="164" fontId="1" fillId="0" borderId="0" xfId="0" applyNumberFormat="1" applyFont="1"/>
    <xf numFmtId="164" fontId="6" fillId="0" borderId="0" xfId="0" applyNumberFormat="1" applyFont="1"/>
    <xf numFmtId="164" fontId="3" fillId="0" borderId="0" xfId="1" applyNumberFormat="1" applyFont="1" applyFill="1"/>
    <xf numFmtId="164" fontId="3" fillId="0" borderId="0" xfId="1" applyNumberFormat="1" applyFont="1"/>
    <xf numFmtId="164" fontId="2" fillId="0" borderId="0" xfId="1" applyNumberFormat="1" applyFont="1"/>
    <xf numFmtId="0" fontId="1" fillId="0" borderId="0" xfId="0" applyFont="1" applyFill="1" applyAlignment="1">
      <alignment horizontal="left" indent="1"/>
    </xf>
    <xf numFmtId="164" fontId="2" fillId="0" borderId="0" xfId="1" quotePrefix="1" applyNumberFormat="1" applyFont="1" applyFill="1"/>
    <xf numFmtId="37" fontId="2" fillId="0" borderId="0" xfId="0" applyNumberFormat="1" applyFont="1" applyFill="1"/>
    <xf numFmtId="164" fontId="13" fillId="0" borderId="0" xfId="1" applyNumberFormat="1" applyFont="1" applyFill="1"/>
    <xf numFmtId="164" fontId="9" fillId="2" borderId="0" xfId="1" applyNumberFormat="1" applyFont="1" applyFill="1"/>
    <xf numFmtId="164" fontId="1" fillId="0" borderId="0" xfId="1" applyNumberFormat="1" applyFont="1" applyFill="1"/>
    <xf numFmtId="0" fontId="1" fillId="0" borderId="0" xfId="0" applyFont="1" applyFill="1"/>
    <xf numFmtId="164" fontId="7" fillId="0" borderId="0" xfId="0" applyNumberFormat="1" applyFont="1" applyFill="1"/>
    <xf numFmtId="37" fontId="1" fillId="0" borderId="0" xfId="0" applyNumberFormat="1" applyFont="1"/>
    <xf numFmtId="37" fontId="0" fillId="0" borderId="0" xfId="0" applyNumberFormat="1"/>
    <xf numFmtId="44" fontId="0" fillId="0" borderId="3" xfId="3" applyFont="1" applyBorder="1"/>
    <xf numFmtId="44" fontId="0" fillId="0" borderId="4" xfId="3" applyFont="1" applyBorder="1"/>
    <xf numFmtId="44" fontId="0" fillId="0" borderId="5" xfId="3" applyFont="1" applyBorder="1"/>
    <xf numFmtId="0" fontId="14" fillId="3" borderId="6" xfId="0" applyFont="1" applyFill="1" applyBorder="1" applyAlignment="1">
      <alignment vertical="center" wrapText="1"/>
    </xf>
    <xf numFmtId="0" fontId="15" fillId="3" borderId="6" xfId="0" applyFont="1" applyFill="1" applyBorder="1" applyAlignment="1">
      <alignment vertical="center" wrapText="1"/>
    </xf>
    <xf numFmtId="6" fontId="0" fillId="0" borderId="0" xfId="0" applyNumberFormat="1"/>
    <xf numFmtId="167" fontId="0" fillId="4" borderId="6" xfId="3" applyNumberFormat="1" applyFont="1" applyFill="1" applyBorder="1" applyAlignment="1">
      <alignment wrapText="1"/>
    </xf>
    <xf numFmtId="167" fontId="14" fillId="4" borderId="6" xfId="3" applyNumberFormat="1" applyFont="1" applyFill="1" applyBorder="1" applyAlignment="1">
      <alignment wrapText="1"/>
    </xf>
    <xf numFmtId="6" fontId="0" fillId="4" borderId="6" xfId="3" applyNumberFormat="1" applyFont="1" applyFill="1" applyBorder="1" applyAlignment="1">
      <alignment wrapText="1"/>
    </xf>
    <xf numFmtId="167" fontId="0" fillId="0" borderId="6" xfId="3" applyNumberFormat="1" applyFont="1" applyFill="1" applyBorder="1" applyAlignment="1">
      <alignment wrapText="1"/>
    </xf>
    <xf numFmtId="167" fontId="0" fillId="2" borderId="6" xfId="3" applyNumberFormat="1" applyFont="1" applyFill="1" applyBorder="1" applyAlignment="1">
      <alignment wrapText="1"/>
    </xf>
    <xf numFmtId="0" fontId="0" fillId="4" borderId="0" xfId="0" applyFill="1"/>
    <xf numFmtId="14" fontId="0" fillId="0" borderId="0" xfId="0" applyNumberFormat="1" applyAlignment="1">
      <alignment horizontal="left" vertical="top"/>
    </xf>
    <xf numFmtId="14" fontId="16" fillId="0" borderId="0" xfId="0" applyNumberFormat="1" applyFont="1" applyAlignment="1">
      <alignment horizontal="left" vertical="top"/>
    </xf>
    <xf numFmtId="0" fontId="16" fillId="0" borderId="0" xfId="0" applyFont="1" applyAlignment="1">
      <alignment horizontal="left" vertical="top"/>
    </xf>
    <xf numFmtId="167" fontId="0" fillId="0" borderId="0" xfId="3" applyNumberFormat="1" applyFont="1" applyFill="1" applyBorder="1" applyAlignment="1">
      <alignment wrapText="1"/>
    </xf>
    <xf numFmtId="167" fontId="0" fillId="0" borderId="0" xfId="0" applyNumberFormat="1" applyAlignment="1">
      <alignment wrapText="1"/>
    </xf>
    <xf numFmtId="0" fontId="0" fillId="3" borderId="7" xfId="0" applyFill="1" applyBorder="1" applyAlignment="1">
      <alignment horizontal="center" wrapText="1"/>
    </xf>
    <xf numFmtId="0" fontId="0" fillId="3" borderId="8" xfId="0" applyFill="1" applyBorder="1" applyAlignment="1">
      <alignment horizontal="center" wrapText="1"/>
    </xf>
    <xf numFmtId="0" fontId="0" fillId="0" borderId="0" xfId="0" applyAlignment="1">
      <alignment wrapText="1"/>
    </xf>
    <xf numFmtId="0" fontId="0" fillId="4" borderId="11" xfId="0" applyFill="1" applyBorder="1" applyAlignment="1">
      <alignment wrapText="1"/>
    </xf>
    <xf numFmtId="10" fontId="0" fillId="4" borderId="12" xfId="2" applyNumberFormat="1" applyFont="1" applyFill="1" applyBorder="1" applyAlignment="1">
      <alignment wrapText="1"/>
    </xf>
    <xf numFmtId="14" fontId="0" fillId="4" borderId="11" xfId="0" applyNumberFormat="1" applyFill="1" applyBorder="1"/>
    <xf numFmtId="167" fontId="0" fillId="4" borderId="12" xfId="3" applyNumberFormat="1" applyFont="1" applyFill="1" applyBorder="1"/>
    <xf numFmtId="4" fontId="0" fillId="0" borderId="0" xfId="0" applyNumberFormat="1" applyAlignment="1">
      <alignment wrapText="1"/>
    </xf>
    <xf numFmtId="167" fontId="0" fillId="5" borderId="12" xfId="3" applyNumberFormat="1" applyFont="1" applyFill="1" applyBorder="1" applyAlignment="1">
      <alignment wrapText="1"/>
    </xf>
    <xf numFmtId="0" fontId="0" fillId="4" borderId="0" xfId="0" applyFill="1" applyAlignment="1">
      <alignment wrapText="1"/>
    </xf>
    <xf numFmtId="0" fontId="0" fillId="4" borderId="11" xfId="0" applyFill="1" applyBorder="1"/>
    <xf numFmtId="167" fontId="0" fillId="4" borderId="12" xfId="3" applyNumberFormat="1" applyFont="1" applyFill="1" applyBorder="1" applyAlignment="1">
      <alignment wrapText="1"/>
    </xf>
    <xf numFmtId="8" fontId="0" fillId="4" borderId="0" xfId="0" applyNumberFormat="1" applyFill="1" applyAlignment="1">
      <alignment wrapText="1"/>
    </xf>
    <xf numFmtId="0" fontId="0" fillId="5" borderId="11" xfId="0" applyFill="1" applyBorder="1"/>
    <xf numFmtId="44" fontId="0" fillId="0" borderId="0" xfId="3" applyFont="1" applyAlignment="1">
      <alignment wrapText="1"/>
    </xf>
    <xf numFmtId="0" fontId="0" fillId="4" borderId="13" xfId="0" applyFill="1" applyBorder="1"/>
    <xf numFmtId="167" fontId="0" fillId="4" borderId="14" xfId="3" applyNumberFormat="1" applyFont="1" applyFill="1" applyBorder="1" applyAlignment="1">
      <alignment wrapText="1"/>
    </xf>
    <xf numFmtId="44" fontId="0" fillId="0" borderId="0" xfId="0" applyNumberFormat="1" applyAlignment="1">
      <alignment wrapText="1"/>
    </xf>
    <xf numFmtId="0" fontId="17" fillId="3" borderId="15" xfId="0" applyFont="1" applyFill="1" applyBorder="1" applyAlignment="1">
      <alignment horizontal="center" wrapText="1"/>
    </xf>
    <xf numFmtId="0" fontId="17" fillId="3" borderId="16" xfId="0" applyFont="1" applyFill="1" applyBorder="1" applyAlignment="1">
      <alignment horizontal="center" wrapText="1"/>
    </xf>
    <xf numFmtId="0" fontId="17" fillId="3" borderId="17" xfId="0" applyFont="1" applyFill="1" applyBorder="1" applyAlignment="1">
      <alignment horizontal="center" wrapText="1"/>
    </xf>
    <xf numFmtId="0" fontId="17" fillId="4" borderId="0" xfId="0" applyFont="1" applyFill="1" applyAlignment="1">
      <alignment horizontal="center" wrapText="1"/>
    </xf>
    <xf numFmtId="0" fontId="0" fillId="4" borderId="0" xfId="0" applyFill="1" applyAlignment="1">
      <alignment horizontal="left" vertical="center" wrapText="1"/>
    </xf>
    <xf numFmtId="14" fontId="0" fillId="4" borderId="13" xfId="0" applyNumberFormat="1" applyFill="1" applyBorder="1"/>
    <xf numFmtId="167" fontId="0" fillId="4" borderId="14" xfId="3" applyNumberFormat="1" applyFont="1" applyFill="1" applyBorder="1"/>
    <xf numFmtId="168" fontId="0" fillId="0" borderId="0" xfId="0" applyNumberFormat="1" applyAlignment="1">
      <alignment wrapText="1"/>
    </xf>
    <xf numFmtId="3" fontId="0" fillId="4" borderId="20" xfId="0" applyNumberFormat="1" applyFill="1" applyBorder="1" applyAlignment="1">
      <alignment horizontal="left"/>
    </xf>
    <xf numFmtId="3" fontId="0" fillId="4" borderId="21" xfId="0" applyNumberFormat="1" applyFill="1" applyBorder="1" applyAlignment="1">
      <alignment horizontal="left"/>
    </xf>
    <xf numFmtId="3" fontId="0" fillId="4" borderId="22" xfId="0" applyNumberFormat="1" applyFill="1" applyBorder="1" applyAlignment="1">
      <alignment horizontal="left"/>
    </xf>
    <xf numFmtId="3" fontId="0" fillId="4" borderId="0" xfId="0" applyNumberFormat="1" applyFill="1" applyAlignment="1">
      <alignment horizontal="left"/>
    </xf>
    <xf numFmtId="0" fontId="0" fillId="4" borderId="0" xfId="0" applyFill="1" applyAlignment="1">
      <alignment horizontal="left" wrapText="1"/>
    </xf>
    <xf numFmtId="167" fontId="0" fillId="4" borderId="0" xfId="0" applyNumberFormat="1" applyFill="1" applyAlignment="1">
      <alignment wrapText="1"/>
    </xf>
    <xf numFmtId="0" fontId="0" fillId="4" borderId="23" xfId="0" applyFill="1" applyBorder="1" applyAlignment="1">
      <alignment wrapText="1"/>
    </xf>
    <xf numFmtId="167" fontId="0" fillId="4" borderId="24" xfId="0" applyNumberFormat="1" applyFill="1" applyBorder="1" applyAlignment="1">
      <alignment wrapText="1"/>
    </xf>
    <xf numFmtId="167" fontId="0" fillId="0" borderId="0" xfId="0" applyNumberFormat="1"/>
    <xf numFmtId="14" fontId="0" fillId="2" borderId="6" xfId="0" applyNumberFormat="1" applyFill="1" applyBorder="1" applyAlignment="1">
      <alignment horizontal="left" vertical="top"/>
    </xf>
    <xf numFmtId="14" fontId="0" fillId="0" borderId="6" xfId="0" applyNumberFormat="1" applyFill="1" applyBorder="1" applyAlignment="1">
      <alignment horizontal="left" vertical="top"/>
    </xf>
    <xf numFmtId="167" fontId="14" fillId="6" borderId="6" xfId="3" applyNumberFormat="1" applyFont="1" applyFill="1" applyBorder="1" applyAlignment="1">
      <alignment wrapText="1"/>
    </xf>
    <xf numFmtId="167" fontId="0" fillId="6" borderId="6" xfId="3" applyNumberFormat="1" applyFont="1" applyFill="1" applyBorder="1" applyAlignment="1">
      <alignment wrapText="1"/>
    </xf>
    <xf numFmtId="37" fontId="1" fillId="0" borderId="0" xfId="0" applyNumberFormat="1" applyFont="1" applyFill="1"/>
    <xf numFmtId="0" fontId="0" fillId="3" borderId="9" xfId="0" applyFill="1" applyBorder="1" applyAlignment="1">
      <alignment horizontal="center"/>
    </xf>
    <xf numFmtId="0" fontId="0" fillId="3" borderId="10" xfId="0" applyFill="1" applyBorder="1" applyAlignment="1">
      <alignment horizontal="center"/>
    </xf>
    <xf numFmtId="0" fontId="0" fillId="4" borderId="9" xfId="0" applyFill="1" applyBorder="1" applyAlignment="1">
      <alignment horizontal="left" vertical="center" wrapText="1"/>
    </xf>
    <xf numFmtId="0" fontId="0" fillId="4" borderId="18" xfId="0" applyFill="1" applyBorder="1" applyAlignment="1">
      <alignment horizontal="left" vertical="center" wrapText="1"/>
    </xf>
    <xf numFmtId="0" fontId="0" fillId="4" borderId="19" xfId="0" applyFill="1" applyBorder="1" applyAlignment="1">
      <alignment horizontal="left" vertical="center" wrapText="1"/>
    </xf>
    <xf numFmtId="0" fontId="0" fillId="4" borderId="20" xfId="0" applyFill="1" applyBorder="1" applyAlignment="1">
      <alignment horizontal="left" wrapText="1"/>
    </xf>
    <xf numFmtId="0" fontId="0" fillId="4" borderId="21" xfId="0" applyFill="1" applyBorder="1" applyAlignment="1">
      <alignment horizontal="left" wrapText="1"/>
    </xf>
    <xf numFmtId="0" fontId="0" fillId="4" borderId="22" xfId="0" applyFill="1" applyBorder="1" applyAlignment="1">
      <alignment horizontal="left"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4" borderId="22" xfId="0" applyFill="1" applyBorder="1" applyAlignment="1">
      <alignment horizontal="left" vertical="center" wrapText="1"/>
    </xf>
    <xf numFmtId="49" fontId="11" fillId="0" borderId="0" xfId="0" quotePrefix="1" applyNumberFormat="1" applyFont="1" applyAlignment="1">
      <alignment horizontal="center"/>
    </xf>
    <xf numFmtId="0" fontId="12" fillId="0" borderId="0" xfId="0" applyFont="1" applyAlignment="1">
      <alignment horizont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4" applyAlignment="1">
      <alignment vertical="center"/>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8B6F6.C58334F0" TargetMode="Externa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25</xdr:col>
      <xdr:colOff>302514</xdr:colOff>
      <xdr:row>75</xdr:row>
      <xdr:rowOff>27337</xdr:rowOff>
    </xdr:to>
    <xdr:pic>
      <xdr:nvPicPr>
        <xdr:cNvPr id="2" name="Picture 1">
          <a:extLst>
            <a:ext uri="{FF2B5EF4-FFF2-40B4-BE49-F238E27FC236}">
              <a16:creationId xmlns:a16="http://schemas.microsoft.com/office/drawing/2014/main" id="{6799CCC0-5824-CC0D-DFB4-898EBA089399}"/>
            </a:ext>
          </a:extLst>
        </xdr:cNvPr>
        <xdr:cNvPicPr>
          <a:picLocks noChangeAspect="1"/>
        </xdr:cNvPicPr>
      </xdr:nvPicPr>
      <xdr:blipFill>
        <a:blip xmlns:r="http://schemas.openxmlformats.org/officeDocument/2006/relationships" r:embed="rId1"/>
        <a:stretch>
          <a:fillRect/>
        </a:stretch>
      </xdr:blipFill>
      <xdr:spPr>
        <a:xfrm>
          <a:off x="0" y="2628900"/>
          <a:ext cx="18285714" cy="9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29</xdr:col>
      <xdr:colOff>464439</xdr:colOff>
      <xdr:row>67</xdr:row>
      <xdr:rowOff>27337</xdr:rowOff>
    </xdr:to>
    <xdr:pic>
      <xdr:nvPicPr>
        <xdr:cNvPr id="2" name="Picture 1">
          <a:extLst>
            <a:ext uri="{FF2B5EF4-FFF2-40B4-BE49-F238E27FC236}">
              <a16:creationId xmlns:a16="http://schemas.microsoft.com/office/drawing/2014/main" id="{81BDF261-59D2-D93C-63B0-ACF540628E02}"/>
            </a:ext>
          </a:extLst>
        </xdr:cNvPr>
        <xdr:cNvPicPr>
          <a:picLocks noChangeAspect="1"/>
        </xdr:cNvPicPr>
      </xdr:nvPicPr>
      <xdr:blipFill>
        <a:blip xmlns:r="http://schemas.openxmlformats.org/officeDocument/2006/relationships" r:embed="rId1"/>
        <a:stretch>
          <a:fillRect/>
        </a:stretch>
      </xdr:blipFill>
      <xdr:spPr>
        <a:xfrm>
          <a:off x="0" y="971550"/>
          <a:ext cx="18285714" cy="9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5</xdr:col>
      <xdr:colOff>342900</xdr:colOff>
      <xdr:row>20</xdr:row>
      <xdr:rowOff>76200</xdr:rowOff>
    </xdr:to>
    <xdr:pic>
      <xdr:nvPicPr>
        <xdr:cNvPr id="2" name="Picture 1">
          <a:extLst>
            <a:ext uri="{FF2B5EF4-FFF2-40B4-BE49-F238E27FC236}">
              <a16:creationId xmlns:a16="http://schemas.microsoft.com/office/drawing/2014/main" id="{E6876A8C-ADEA-08E8-6569-619D1C3FC7B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3286125"/>
          <a:ext cx="33909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bgc-cpa.com/" TargetMode="External"/><Relationship Id="rId1" Type="http://schemas.openxmlformats.org/officeDocument/2006/relationships/hyperlink" Target="mailto:tlawson@bgc-cp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8"/>
  <sheetViews>
    <sheetView tabSelected="1" workbookViewId="0">
      <pane xSplit="1" ySplit="5" topLeftCell="B6" activePane="bottomRight" state="frozen"/>
      <selection pane="topRight" activeCell="C1" sqref="C1"/>
      <selection pane="bottomLeft" activeCell="A6" sqref="A6"/>
      <selection pane="bottomRight" activeCell="G38" sqref="G38"/>
    </sheetView>
  </sheetViews>
  <sheetFormatPr defaultRowHeight="12.75" x14ac:dyDescent="0.2"/>
  <cols>
    <col min="1" max="1" width="26.140625" customWidth="1"/>
    <col min="2" max="2" width="12.85546875" bestFit="1" customWidth="1"/>
    <col min="3" max="3" width="11.42578125" bestFit="1" customWidth="1"/>
    <col min="4" max="4" width="11.140625" bestFit="1" customWidth="1"/>
    <col min="5" max="5" width="11.42578125" bestFit="1" customWidth="1"/>
    <col min="6" max="6" width="11.5703125" bestFit="1" customWidth="1"/>
    <col min="7" max="7" width="11.28515625" bestFit="1" customWidth="1"/>
    <col min="8" max="8" width="10.7109375" bestFit="1" customWidth="1"/>
    <col min="9" max="9" width="10.42578125" bestFit="1" customWidth="1"/>
    <col min="10" max="10" width="11" style="6" bestFit="1" customWidth="1"/>
    <col min="11" max="13" width="11.140625" style="6" bestFit="1" customWidth="1"/>
    <col min="14" max="14" width="12.42578125" style="1" customWidth="1"/>
    <col min="15" max="15" width="2.7109375" customWidth="1"/>
    <col min="16" max="16" width="15.28515625" style="6" customWidth="1"/>
    <col min="17" max="18" width="12.42578125" style="6" customWidth="1"/>
    <col min="19" max="20" width="12.42578125" customWidth="1"/>
    <col min="21" max="21" width="2.85546875" customWidth="1"/>
    <col min="22" max="22" width="12.42578125" customWidth="1"/>
  </cols>
  <sheetData>
    <row r="1" spans="1:32" s="6" customFormat="1" x14ac:dyDescent="0.2">
      <c r="A1" s="15" t="s">
        <v>15</v>
      </c>
      <c r="N1" s="31"/>
      <c r="O1" s="4"/>
      <c r="P1" s="4"/>
      <c r="Q1" s="4"/>
      <c r="R1" s="4"/>
      <c r="S1" s="4"/>
      <c r="T1" s="4"/>
      <c r="U1" s="4"/>
      <c r="V1" s="4"/>
      <c r="W1" s="4"/>
      <c r="X1" s="4"/>
      <c r="Y1" s="4"/>
      <c r="Z1" s="4"/>
      <c r="AA1" s="4"/>
    </row>
    <row r="2" spans="1:32" s="6" customFormat="1" x14ac:dyDescent="0.2">
      <c r="A2" s="15" t="s">
        <v>122</v>
      </c>
      <c r="E2" s="7"/>
      <c r="F2" s="7"/>
      <c r="G2" s="7"/>
      <c r="H2" s="7"/>
      <c r="I2" s="7"/>
      <c r="J2" s="7"/>
      <c r="K2" s="7"/>
      <c r="L2" s="7"/>
      <c r="M2" s="7"/>
      <c r="N2" s="31"/>
      <c r="O2" s="4"/>
      <c r="P2" s="4"/>
      <c r="Q2" s="4"/>
      <c r="R2" s="4"/>
      <c r="S2" s="4"/>
      <c r="T2" s="4"/>
      <c r="U2" s="4"/>
      <c r="V2" s="4"/>
      <c r="W2" s="4"/>
      <c r="X2" s="4"/>
      <c r="Y2" s="4"/>
      <c r="Z2" s="4"/>
      <c r="AA2" s="4"/>
    </row>
    <row r="3" spans="1:32" s="6" customFormat="1" x14ac:dyDescent="0.2">
      <c r="N3" s="15"/>
    </row>
    <row r="4" spans="1:32" s="6" customFormat="1" x14ac:dyDescent="0.2">
      <c r="B4" s="6">
        <v>31</v>
      </c>
      <c r="C4" s="6">
        <v>30</v>
      </c>
      <c r="D4" s="6">
        <v>31</v>
      </c>
      <c r="E4" s="6">
        <v>31</v>
      </c>
      <c r="F4" s="6">
        <v>28</v>
      </c>
      <c r="G4" s="6">
        <v>31</v>
      </c>
      <c r="H4" s="6">
        <v>30</v>
      </c>
      <c r="I4" s="6">
        <v>31</v>
      </c>
      <c r="J4" s="6">
        <v>30</v>
      </c>
      <c r="K4" s="6">
        <v>31</v>
      </c>
      <c r="L4" s="6">
        <v>31</v>
      </c>
      <c r="M4" s="6">
        <v>30</v>
      </c>
      <c r="N4" s="16" t="s">
        <v>0</v>
      </c>
      <c r="O4" s="16"/>
      <c r="P4" s="16" t="s">
        <v>59</v>
      </c>
      <c r="Q4" s="16" t="s">
        <v>41</v>
      </c>
      <c r="R4" s="16" t="s">
        <v>42</v>
      </c>
      <c r="S4" s="16" t="s">
        <v>42</v>
      </c>
      <c r="T4" s="16" t="s">
        <v>42</v>
      </c>
      <c r="V4" s="16" t="s">
        <v>55</v>
      </c>
    </row>
    <row r="5" spans="1:32" s="6" customFormat="1" x14ac:dyDescent="0.2">
      <c r="B5" s="16" t="s">
        <v>1</v>
      </c>
      <c r="C5" s="16" t="s">
        <v>2</v>
      </c>
      <c r="D5" s="16" t="s">
        <v>3</v>
      </c>
      <c r="E5" s="16" t="s">
        <v>4</v>
      </c>
      <c r="F5" s="16" t="s">
        <v>5</v>
      </c>
      <c r="G5" s="16" t="s">
        <v>6</v>
      </c>
      <c r="H5" s="16" t="s">
        <v>7</v>
      </c>
      <c r="I5" s="16" t="s">
        <v>8</v>
      </c>
      <c r="J5" s="16" t="s">
        <v>9</v>
      </c>
      <c r="K5" s="16" t="s">
        <v>10</v>
      </c>
      <c r="L5" s="16" t="s">
        <v>11</v>
      </c>
      <c r="M5" s="16" t="s">
        <v>12</v>
      </c>
      <c r="N5" s="17">
        <v>2023</v>
      </c>
      <c r="O5" s="17"/>
      <c r="P5" s="17">
        <v>2022</v>
      </c>
      <c r="Q5" s="17">
        <v>2022</v>
      </c>
      <c r="R5" s="17">
        <v>2021</v>
      </c>
      <c r="S5" s="17">
        <v>2020</v>
      </c>
      <c r="T5" s="17">
        <v>2019</v>
      </c>
      <c r="V5" s="17" t="s">
        <v>123</v>
      </c>
    </row>
    <row r="6" spans="1:32" s="6" customFormat="1" x14ac:dyDescent="0.2">
      <c r="A6" s="11"/>
      <c r="B6" s="12"/>
      <c r="C6" s="12"/>
      <c r="D6" s="12"/>
      <c r="E6" s="12"/>
      <c r="F6" s="12"/>
      <c r="G6" s="12"/>
      <c r="H6" s="12"/>
      <c r="I6" s="12"/>
      <c r="J6" s="12"/>
      <c r="K6" s="12"/>
      <c r="L6" s="12"/>
      <c r="M6" s="12"/>
      <c r="N6" s="49"/>
      <c r="O6" s="13"/>
      <c r="P6" s="13"/>
      <c r="Q6" s="13"/>
      <c r="R6" s="13"/>
      <c r="S6" s="13"/>
      <c r="T6" s="13"/>
      <c r="V6" s="13"/>
    </row>
    <row r="7" spans="1:32" s="6" customFormat="1" x14ac:dyDescent="0.2">
      <c r="A7" s="11" t="s">
        <v>23</v>
      </c>
      <c r="B7" s="12">
        <v>0</v>
      </c>
      <c r="C7" s="12">
        <v>-158291</v>
      </c>
      <c r="D7" s="12">
        <v>0</v>
      </c>
      <c r="E7" s="12">
        <v>0</v>
      </c>
      <c r="F7" s="12">
        <v>-291000</v>
      </c>
      <c r="G7" s="12">
        <v>0</v>
      </c>
      <c r="H7" s="12">
        <v>0</v>
      </c>
      <c r="I7" s="12">
        <v>0</v>
      </c>
      <c r="J7" s="12">
        <v>-190000</v>
      </c>
      <c r="K7" s="12">
        <v>0</v>
      </c>
      <c r="L7" s="12">
        <v>0</v>
      </c>
      <c r="M7" s="12">
        <v>-697000</v>
      </c>
      <c r="N7" s="49">
        <f>SUM(B7:M7)</f>
        <v>-1336291</v>
      </c>
      <c r="O7" s="13"/>
      <c r="P7" s="7">
        <v>-3562952.15</v>
      </c>
      <c r="Q7" s="7">
        <f>+P7-49853.02-697000</f>
        <v>-4309805.17</v>
      </c>
      <c r="R7" s="7">
        <v>-3364040.73</v>
      </c>
      <c r="S7" s="13">
        <v>-3452869.49</v>
      </c>
      <c r="T7" s="13">
        <v>-4627705.21</v>
      </c>
      <c r="V7" s="13">
        <f>AVERAGE(Q7:T7)</f>
        <v>-3938605.1500000004</v>
      </c>
    </row>
    <row r="8" spans="1:32" s="6" customFormat="1" x14ac:dyDescent="0.2">
      <c r="A8" s="11" t="s">
        <v>17</v>
      </c>
      <c r="B8" s="13">
        <v>748</v>
      </c>
      <c r="C8" s="13">
        <v>748</v>
      </c>
      <c r="D8" s="13">
        <v>748</v>
      </c>
      <c r="E8" s="13">
        <v>748</v>
      </c>
      <c r="F8" s="13">
        <v>748</v>
      </c>
      <c r="G8" s="13">
        <v>748</v>
      </c>
      <c r="H8" s="13">
        <f>65000+748</f>
        <v>65748</v>
      </c>
      <c r="I8" s="13">
        <v>748</v>
      </c>
      <c r="J8" s="13">
        <v>748</v>
      </c>
      <c r="K8" s="13">
        <v>748</v>
      </c>
      <c r="L8" s="13">
        <v>748</v>
      </c>
      <c r="M8" s="13">
        <v>748</v>
      </c>
      <c r="N8" s="14">
        <f t="shared" ref="N8:N11" si="0">SUM(B8:M8)</f>
        <v>73976</v>
      </c>
      <c r="O8" s="7"/>
      <c r="P8" s="7">
        <f>2541.84+62375.63+7031.83</f>
        <v>71949.3</v>
      </c>
      <c r="Q8" s="7">
        <f>+P8+1014.47+1014.47</f>
        <v>73978.240000000005</v>
      </c>
      <c r="R8" s="7">
        <v>90936.3</v>
      </c>
      <c r="S8" s="7">
        <v>83664.61</v>
      </c>
      <c r="T8" s="7">
        <f>75723.3+9610.65</f>
        <v>85333.95</v>
      </c>
      <c r="V8" s="7">
        <f>AVERAGE(Q8:T8)</f>
        <v>83478.275000000009</v>
      </c>
    </row>
    <row r="9" spans="1:32" s="6" customFormat="1" x14ac:dyDescent="0.2">
      <c r="A9" s="11" t="s">
        <v>24</v>
      </c>
      <c r="B9" s="13">
        <v>291667</v>
      </c>
      <c r="C9" s="13">
        <v>291666</v>
      </c>
      <c r="D9" s="13">
        <v>291667</v>
      </c>
      <c r="E9" s="13">
        <v>291666</v>
      </c>
      <c r="F9" s="13">
        <v>291667</v>
      </c>
      <c r="G9" s="13">
        <v>291667</v>
      </c>
      <c r="H9" s="13">
        <v>291667</v>
      </c>
      <c r="I9" s="13">
        <v>291667</v>
      </c>
      <c r="J9" s="13">
        <v>291667</v>
      </c>
      <c r="K9" s="13">
        <v>291667</v>
      </c>
      <c r="L9" s="13">
        <v>291666</v>
      </c>
      <c r="M9" s="13">
        <v>291666</v>
      </c>
      <c r="N9" s="14">
        <f t="shared" si="0"/>
        <v>3500000</v>
      </c>
      <c r="O9" s="7"/>
      <c r="P9" s="7">
        <v>2916666.7</v>
      </c>
      <c r="Q9" s="7">
        <f>+(P9/10)*12</f>
        <v>3500000.0400000005</v>
      </c>
      <c r="R9" s="7">
        <v>3500000</v>
      </c>
      <c r="S9" s="7">
        <v>3500000</v>
      </c>
      <c r="T9" s="7">
        <v>3500000</v>
      </c>
      <c r="V9" s="7">
        <f>AVERAGE(Q9:T9)</f>
        <v>3500000.0100000002</v>
      </c>
    </row>
    <row r="10" spans="1:32" s="6" customFormat="1" x14ac:dyDescent="0.2">
      <c r="A10" s="53" t="s">
        <v>71</v>
      </c>
      <c r="B10" s="24">
        <v>200</v>
      </c>
      <c r="C10" s="24">
        <v>200</v>
      </c>
      <c r="D10" s="24">
        <v>200</v>
      </c>
      <c r="E10" s="24">
        <v>200</v>
      </c>
      <c r="F10" s="24">
        <v>200</v>
      </c>
      <c r="G10" s="24">
        <v>200</v>
      </c>
      <c r="H10" s="24">
        <v>200</v>
      </c>
      <c r="I10" s="24">
        <v>200</v>
      </c>
      <c r="J10" s="24">
        <v>200</v>
      </c>
      <c r="K10" s="24">
        <v>200</v>
      </c>
      <c r="L10" s="24">
        <v>200</v>
      </c>
      <c r="M10" s="24">
        <v>200</v>
      </c>
      <c r="N10" s="31">
        <f t="shared" si="0"/>
        <v>2400</v>
      </c>
      <c r="O10" s="7"/>
      <c r="P10" s="7">
        <v>2000</v>
      </c>
      <c r="Q10" s="7">
        <f>+(P10/10)*12</f>
        <v>2400</v>
      </c>
      <c r="R10" s="7">
        <v>2400</v>
      </c>
      <c r="S10" s="7">
        <v>2400</v>
      </c>
      <c r="T10" s="7">
        <v>2400</v>
      </c>
      <c r="V10" s="7">
        <f t="shared" ref="V10" si="1">AVERAGE(Q10:T10)</f>
        <v>2400</v>
      </c>
    </row>
    <row r="11" spans="1:32" s="6" customFormat="1" x14ac:dyDescent="0.2">
      <c r="A11" s="11" t="s">
        <v>18</v>
      </c>
      <c r="B11" s="30">
        <f>+'Tax Revenue'!A28</f>
        <v>6584.408456940283</v>
      </c>
      <c r="C11" s="30">
        <f>+'Tax Revenue'!B28</f>
        <v>141468.05378332621</v>
      </c>
      <c r="D11" s="30">
        <f>+'Tax Revenue'!C28</f>
        <v>1514395.4970545925</v>
      </c>
      <c r="E11" s="30">
        <f>+'Tax Revenue'!D28</f>
        <v>321974.7170171903</v>
      </c>
      <c r="F11" s="30">
        <f>+'Tax Revenue'!E28</f>
        <v>195502.45498420577</v>
      </c>
      <c r="G11" s="30">
        <f>+'Tax Revenue'!F28</f>
        <v>44324.213031227155</v>
      </c>
      <c r="H11" s="30">
        <f>+'Tax Revenue'!G28</f>
        <v>34096.033131252792</v>
      </c>
      <c r="I11" s="30">
        <f>+'Tax Revenue'!H28</f>
        <v>4065.043846704139</v>
      </c>
      <c r="J11" s="30">
        <f>+'Tax Revenue'!I28</f>
        <v>16896.314754830826</v>
      </c>
      <c r="K11" s="30">
        <f>+'Tax Revenue'!J28</f>
        <v>15259.589160595529</v>
      </c>
      <c r="L11" s="30">
        <f>+'Tax Revenue'!K28</f>
        <v>15064.416373946</v>
      </c>
      <c r="M11" s="30">
        <f>+'Tax Revenue'!L28</f>
        <v>6750.1184051890405</v>
      </c>
      <c r="N11" s="50">
        <f t="shared" si="0"/>
        <v>2316380.86</v>
      </c>
      <c r="O11" s="30"/>
      <c r="P11" s="30">
        <v>2509328.88</v>
      </c>
      <c r="Q11" s="30">
        <f>+P11+23445+8050</f>
        <v>2540823.88</v>
      </c>
      <c r="R11" s="30">
        <v>2650370.46</v>
      </c>
      <c r="S11" s="30">
        <v>2595943.86</v>
      </c>
      <c r="T11" s="30">
        <v>2602229.0299999998</v>
      </c>
      <c r="U11" s="4"/>
      <c r="V11" s="30">
        <f>AVERAGE(Q11:T11)</f>
        <v>2597341.8074999996</v>
      </c>
      <c r="W11" s="4"/>
      <c r="X11" s="4"/>
      <c r="Y11" s="4"/>
      <c r="Z11" s="4"/>
      <c r="AA11" s="4"/>
      <c r="AB11" s="4"/>
      <c r="AC11" s="4"/>
      <c r="AD11" s="4"/>
      <c r="AE11" s="4"/>
      <c r="AF11" s="4"/>
    </row>
    <row r="12" spans="1:32" s="1" customFormat="1" x14ac:dyDescent="0.2">
      <c r="A12" s="1" t="s">
        <v>19</v>
      </c>
      <c r="B12" s="44">
        <f t="shared" ref="B12:N12" si="2">SUM(B6:B11)</f>
        <v>299199.40845694026</v>
      </c>
      <c r="C12" s="44">
        <f t="shared" si="2"/>
        <v>275791.05378332618</v>
      </c>
      <c r="D12" s="44">
        <f t="shared" si="2"/>
        <v>1807010.4970545925</v>
      </c>
      <c r="E12" s="44">
        <f t="shared" si="2"/>
        <v>614588.7170171903</v>
      </c>
      <c r="F12" s="44">
        <f t="shared" si="2"/>
        <v>197117.45498420577</v>
      </c>
      <c r="G12" s="44">
        <f t="shared" si="2"/>
        <v>336939.21303122718</v>
      </c>
      <c r="H12" s="44">
        <f t="shared" si="2"/>
        <v>391711.0331312528</v>
      </c>
      <c r="I12" s="44">
        <f t="shared" si="2"/>
        <v>296680.04384670412</v>
      </c>
      <c r="J12" s="44">
        <f t="shared" si="2"/>
        <v>119511.31475483082</v>
      </c>
      <c r="K12" s="44">
        <f t="shared" si="2"/>
        <v>307874.58916059555</v>
      </c>
      <c r="L12" s="44">
        <f t="shared" si="2"/>
        <v>307678.41637394601</v>
      </c>
      <c r="M12" s="44">
        <f t="shared" si="2"/>
        <v>-397635.88159481098</v>
      </c>
      <c r="N12" s="45">
        <f t="shared" si="2"/>
        <v>4556465.8599999994</v>
      </c>
      <c r="O12" s="45"/>
      <c r="P12" s="44">
        <f>SUM(P6:P11)</f>
        <v>1936992.73</v>
      </c>
      <c r="Q12" s="44">
        <f>SUM(Q6:Q11)</f>
        <v>1807396.9900000007</v>
      </c>
      <c r="R12" s="44">
        <f>SUM(R6:R11)</f>
        <v>2879666.03</v>
      </c>
      <c r="S12" s="44">
        <f>SUM(S6:S11)</f>
        <v>2729138.9799999995</v>
      </c>
      <c r="T12" s="44">
        <f>SUM(T6:T11)</f>
        <v>1562257.77</v>
      </c>
      <c r="U12" s="46"/>
      <c r="V12" s="45">
        <f>SUM(V6:V11)</f>
        <v>2244614.9424999994</v>
      </c>
      <c r="W12" s="46"/>
      <c r="X12" s="46"/>
      <c r="Y12" s="46"/>
      <c r="Z12" s="46"/>
      <c r="AA12" s="46"/>
      <c r="AB12" s="46"/>
      <c r="AC12" s="46"/>
      <c r="AD12" s="46"/>
      <c r="AE12" s="46"/>
      <c r="AF12" s="46"/>
    </row>
    <row r="13" spans="1:32" s="6" customFormat="1" x14ac:dyDescent="0.2">
      <c r="B13" s="4"/>
      <c r="C13" s="4"/>
      <c r="D13" s="4"/>
      <c r="E13" s="4"/>
      <c r="F13" s="4"/>
      <c r="G13" s="4"/>
      <c r="H13" s="4"/>
      <c r="I13" s="4"/>
      <c r="J13" s="4"/>
      <c r="K13" s="4"/>
      <c r="L13" s="4"/>
      <c r="M13" s="4"/>
      <c r="N13" s="15"/>
      <c r="U13" s="4"/>
      <c r="W13" s="4"/>
      <c r="X13" s="4"/>
      <c r="Y13" s="4"/>
      <c r="Z13" s="4"/>
      <c r="AA13" s="4"/>
      <c r="AB13" s="4"/>
      <c r="AC13" s="4"/>
      <c r="AD13" s="4"/>
      <c r="AE13" s="4"/>
      <c r="AF13" s="4"/>
    </row>
    <row r="14" spans="1:32" s="6" customFormat="1" x14ac:dyDescent="0.2">
      <c r="A14" s="53" t="s">
        <v>64</v>
      </c>
      <c r="B14" s="4">
        <v>1325</v>
      </c>
      <c r="C14" s="4">
        <v>1325</v>
      </c>
      <c r="D14" s="4">
        <v>1325</v>
      </c>
      <c r="E14" s="4">
        <v>1325</v>
      </c>
      <c r="F14" s="4">
        <v>1325</v>
      </c>
      <c r="G14" s="4">
        <v>1325</v>
      </c>
      <c r="H14" s="4">
        <v>1325</v>
      </c>
      <c r="I14" s="4">
        <v>1325</v>
      </c>
      <c r="J14" s="4">
        <v>1325</v>
      </c>
      <c r="K14" s="4">
        <v>1325</v>
      </c>
      <c r="L14" s="4">
        <v>1325</v>
      </c>
      <c r="M14" s="4">
        <v>1325</v>
      </c>
      <c r="N14" s="14">
        <f t="shared" ref="N14:N30" si="3">SUM(B14:M14)</f>
        <v>15900</v>
      </c>
      <c r="O14" s="41"/>
      <c r="P14" s="41">
        <v>12540</v>
      </c>
      <c r="Q14" s="41">
        <f>+(P14/10)*12</f>
        <v>15048</v>
      </c>
      <c r="R14" s="41">
        <v>14400</v>
      </c>
      <c r="S14" s="41">
        <v>14400</v>
      </c>
      <c r="T14" s="41">
        <v>14300</v>
      </c>
      <c r="V14" s="41">
        <f t="shared" ref="V14" si="4">AVERAGE(Q14:T14)</f>
        <v>14537</v>
      </c>
      <c r="W14" s="15" t="s">
        <v>62</v>
      </c>
    </row>
    <row r="15" spans="1:32" ht="15" x14ac:dyDescent="0.35">
      <c r="A15" s="11" t="s">
        <v>20</v>
      </c>
      <c r="B15" s="29">
        <v>1182.5</v>
      </c>
      <c r="C15" s="29">
        <v>1182.5</v>
      </c>
      <c r="D15" s="29">
        <v>1182.5</v>
      </c>
      <c r="E15" s="29">
        <v>1182.5</v>
      </c>
      <c r="F15" s="29">
        <v>1182.5</v>
      </c>
      <c r="G15" s="29">
        <v>1182.5</v>
      </c>
      <c r="H15" s="29">
        <v>1182.5</v>
      </c>
      <c r="I15" s="29">
        <v>1182.5</v>
      </c>
      <c r="J15" s="29">
        <v>1182.5</v>
      </c>
      <c r="K15" s="29">
        <v>1182.5</v>
      </c>
      <c r="L15" s="29">
        <v>1182.5</v>
      </c>
      <c r="M15" s="29">
        <v>1182.5</v>
      </c>
      <c r="N15" s="19">
        <f t="shared" si="3"/>
        <v>14190</v>
      </c>
      <c r="O15" s="43"/>
      <c r="P15" s="32">
        <v>11825</v>
      </c>
      <c r="Q15" s="32">
        <f>+(P15/10)*12</f>
        <v>14190</v>
      </c>
      <c r="R15" s="32">
        <v>13387.8</v>
      </c>
      <c r="S15" s="32">
        <v>12071.16</v>
      </c>
      <c r="T15" s="32">
        <v>12359.63</v>
      </c>
      <c r="V15" s="43">
        <f>AVERAGE(Q15:T15)</f>
        <v>13002.147499999999</v>
      </c>
    </row>
    <row r="16" spans="1:32" s="15" customFormat="1" x14ac:dyDescent="0.2">
      <c r="A16" s="15" t="s">
        <v>21</v>
      </c>
      <c r="B16" s="31">
        <f>+B14+B15</f>
        <v>2507.5</v>
      </c>
      <c r="C16" s="31">
        <f t="shared" ref="C16:M16" si="5">+C14+C15</f>
        <v>2507.5</v>
      </c>
      <c r="D16" s="31">
        <f t="shared" si="5"/>
        <v>2507.5</v>
      </c>
      <c r="E16" s="31">
        <f t="shared" si="5"/>
        <v>2507.5</v>
      </c>
      <c r="F16" s="31">
        <f t="shared" si="5"/>
        <v>2507.5</v>
      </c>
      <c r="G16" s="31">
        <f t="shared" si="5"/>
        <v>2507.5</v>
      </c>
      <c r="H16" s="31">
        <f t="shared" si="5"/>
        <v>2507.5</v>
      </c>
      <c r="I16" s="31">
        <f t="shared" si="5"/>
        <v>2507.5</v>
      </c>
      <c r="J16" s="31">
        <f t="shared" si="5"/>
        <v>2507.5</v>
      </c>
      <c r="K16" s="31">
        <f t="shared" si="5"/>
        <v>2507.5</v>
      </c>
      <c r="L16" s="31">
        <f t="shared" si="5"/>
        <v>2507.5</v>
      </c>
      <c r="M16" s="31">
        <f t="shared" si="5"/>
        <v>2507.5</v>
      </c>
      <c r="N16" s="31">
        <f>+N14+N15</f>
        <v>30090</v>
      </c>
      <c r="O16" s="31"/>
      <c r="P16" s="31">
        <f>SUM(P14:P15)</f>
        <v>24365</v>
      </c>
      <c r="Q16" s="31">
        <f>SUM(Q14:Q15)</f>
        <v>29238</v>
      </c>
      <c r="R16" s="31">
        <f>SUM(R14:R15)</f>
        <v>27787.8</v>
      </c>
      <c r="S16" s="31">
        <f>SUM(S14:S15)</f>
        <v>26471.16</v>
      </c>
      <c r="T16" s="31">
        <f>SUM(T14:T15)</f>
        <v>26659.629999999997</v>
      </c>
      <c r="V16" s="31">
        <f>SUM(V14:V15)</f>
        <v>27539.147499999999</v>
      </c>
    </row>
    <row r="17" spans="1:22" s="6" customFormat="1" x14ac:dyDescent="0.2">
      <c r="A17" s="18" t="s">
        <v>25</v>
      </c>
      <c r="B17" s="4">
        <v>0</v>
      </c>
      <c r="C17" s="4">
        <v>0</v>
      </c>
      <c r="D17" s="4">
        <v>0</v>
      </c>
      <c r="E17" s="4">
        <v>0</v>
      </c>
      <c r="F17" s="4">
        <v>0</v>
      </c>
      <c r="G17" s="4">
        <v>0</v>
      </c>
      <c r="H17" s="4">
        <v>14035</v>
      </c>
      <c r="I17" s="4">
        <v>0</v>
      </c>
      <c r="J17" s="4">
        <v>0</v>
      </c>
      <c r="K17" s="4">
        <v>0</v>
      </c>
      <c r="L17" s="4">
        <v>0</v>
      </c>
      <c r="M17" s="4">
        <v>0</v>
      </c>
      <c r="N17" s="14">
        <f t="shared" si="3"/>
        <v>14035</v>
      </c>
      <c r="O17" s="41"/>
      <c r="P17" s="41">
        <v>14035</v>
      </c>
      <c r="Q17" s="41">
        <f>+P17</f>
        <v>14035</v>
      </c>
      <c r="R17" s="41">
        <v>13350</v>
      </c>
      <c r="S17" s="41">
        <v>13750</v>
      </c>
      <c r="T17" s="41">
        <v>13500</v>
      </c>
      <c r="V17" s="41">
        <f t="shared" ref="V17:V30" si="6">AVERAGE(Q17:T17)</f>
        <v>13658.75</v>
      </c>
    </row>
    <row r="18" spans="1:22" s="6" customFormat="1" x14ac:dyDescent="0.2">
      <c r="A18" s="47" t="s">
        <v>54</v>
      </c>
      <c r="B18" s="4">
        <v>0</v>
      </c>
      <c r="C18" s="4">
        <v>0</v>
      </c>
      <c r="D18" s="4">
        <v>0</v>
      </c>
      <c r="E18" s="4">
        <v>0</v>
      </c>
      <c r="F18" s="4">
        <v>0</v>
      </c>
      <c r="G18" s="4">
        <v>0</v>
      </c>
      <c r="H18" s="4">
        <v>0</v>
      </c>
      <c r="I18" s="4">
        <v>0</v>
      </c>
      <c r="J18" s="4">
        <v>0</v>
      </c>
      <c r="K18" s="4">
        <v>0</v>
      </c>
      <c r="L18" s="4">
        <v>0</v>
      </c>
      <c r="M18" s="4">
        <v>0</v>
      </c>
      <c r="N18" s="14">
        <f t="shared" si="3"/>
        <v>0</v>
      </c>
      <c r="O18" s="41"/>
      <c r="P18" s="41">
        <v>480</v>
      </c>
      <c r="Q18" s="41">
        <f>+P18</f>
        <v>480</v>
      </c>
      <c r="R18" s="41">
        <v>0</v>
      </c>
      <c r="S18" s="41">
        <v>300</v>
      </c>
      <c r="T18" s="41">
        <v>866.25</v>
      </c>
      <c r="V18" s="41">
        <f t="shared" si="6"/>
        <v>411.5625</v>
      </c>
    </row>
    <row r="19" spans="1:22" x14ac:dyDescent="0.2">
      <c r="A19" s="18" t="s">
        <v>32</v>
      </c>
      <c r="B19" s="52">
        <v>0</v>
      </c>
      <c r="C19" s="52">
        <v>0</v>
      </c>
      <c r="D19" s="52">
        <v>0</v>
      </c>
      <c r="E19" s="52">
        <v>0</v>
      </c>
      <c r="F19" s="52">
        <v>0</v>
      </c>
      <c r="G19" s="52">
        <v>0</v>
      </c>
      <c r="H19" s="52">
        <v>10000</v>
      </c>
      <c r="I19" s="52">
        <v>0</v>
      </c>
      <c r="J19" s="52">
        <v>0</v>
      </c>
      <c r="K19" s="52">
        <v>0</v>
      </c>
      <c r="L19" s="52">
        <v>0</v>
      </c>
      <c r="M19" s="52">
        <v>0</v>
      </c>
      <c r="N19" s="3">
        <f t="shared" si="3"/>
        <v>10000</v>
      </c>
      <c r="O19" s="42"/>
      <c r="P19" s="41">
        <v>11246.35</v>
      </c>
      <c r="Q19" s="41">
        <f>+P19</f>
        <v>11246.35</v>
      </c>
      <c r="R19" s="41">
        <v>0</v>
      </c>
      <c r="S19" s="41">
        <v>0</v>
      </c>
      <c r="T19" s="41">
        <v>0</v>
      </c>
      <c r="V19" s="42">
        <f t="shared" si="6"/>
        <v>2811.5875000000001</v>
      </c>
    </row>
    <row r="20" spans="1:22" x14ac:dyDescent="0.2">
      <c r="A20" s="18" t="s">
        <v>26</v>
      </c>
      <c r="B20" s="4">
        <v>0</v>
      </c>
      <c r="C20" s="4">
        <v>0</v>
      </c>
      <c r="D20" s="4">
        <v>0</v>
      </c>
      <c r="E20" s="4">
        <v>0</v>
      </c>
      <c r="F20" s="4">
        <v>0</v>
      </c>
      <c r="G20" s="4">
        <v>0</v>
      </c>
      <c r="H20" s="4">
        <v>0</v>
      </c>
      <c r="I20" s="4">
        <v>0</v>
      </c>
      <c r="J20" s="4">
        <v>0</v>
      </c>
      <c r="K20" s="4">
        <v>0</v>
      </c>
      <c r="L20" s="4">
        <v>0</v>
      </c>
      <c r="M20" s="4">
        <v>0</v>
      </c>
      <c r="N20" s="3">
        <f t="shared" si="3"/>
        <v>0</v>
      </c>
      <c r="O20" s="42"/>
      <c r="P20" s="41">
        <v>0</v>
      </c>
      <c r="Q20" s="41">
        <f>+P20</f>
        <v>0</v>
      </c>
      <c r="R20" s="41">
        <v>0</v>
      </c>
      <c r="S20" s="41">
        <v>0</v>
      </c>
      <c r="T20" s="41">
        <v>288.60000000000002</v>
      </c>
      <c r="V20" s="42">
        <f t="shared" si="6"/>
        <v>72.150000000000006</v>
      </c>
    </row>
    <row r="21" spans="1:22" x14ac:dyDescent="0.2">
      <c r="A21" s="18" t="s">
        <v>28</v>
      </c>
      <c r="B21" s="4">
        <v>0</v>
      </c>
      <c r="C21" s="4">
        <v>0</v>
      </c>
      <c r="D21" s="4">
        <v>0</v>
      </c>
      <c r="E21" s="4">
        <v>0</v>
      </c>
      <c r="F21" s="4">
        <v>0</v>
      </c>
      <c r="G21" s="4">
        <v>0</v>
      </c>
      <c r="H21" s="4">
        <v>2500</v>
      </c>
      <c r="I21" s="4">
        <v>0</v>
      </c>
      <c r="J21" s="4">
        <v>0</v>
      </c>
      <c r="K21" s="4">
        <v>0</v>
      </c>
      <c r="L21" s="4">
        <v>0</v>
      </c>
      <c r="M21" s="4">
        <v>0</v>
      </c>
      <c r="N21" s="3">
        <f t="shared" si="3"/>
        <v>2500</v>
      </c>
      <c r="O21" s="42"/>
      <c r="P21" s="41">
        <v>0</v>
      </c>
      <c r="Q21" s="41">
        <f>+P21</f>
        <v>0</v>
      </c>
      <c r="R21" s="41">
        <v>2297.34</v>
      </c>
      <c r="S21" s="41">
        <v>0</v>
      </c>
      <c r="T21" s="41">
        <v>5246.55</v>
      </c>
      <c r="V21" s="42">
        <f t="shared" si="6"/>
        <v>1885.9725000000001</v>
      </c>
    </row>
    <row r="22" spans="1:22" s="6" customFormat="1" x14ac:dyDescent="0.2">
      <c r="A22" s="18" t="s">
        <v>29</v>
      </c>
      <c r="B22" s="4">
        <v>100</v>
      </c>
      <c r="C22" s="4">
        <v>2000</v>
      </c>
      <c r="D22" s="4">
        <v>100</v>
      </c>
      <c r="E22" s="4">
        <v>100</v>
      </c>
      <c r="F22" s="4">
        <v>100</v>
      </c>
      <c r="G22" s="4">
        <v>100</v>
      </c>
      <c r="H22" s="4">
        <v>100</v>
      </c>
      <c r="I22" s="4">
        <v>100</v>
      </c>
      <c r="J22" s="4">
        <v>100</v>
      </c>
      <c r="K22" s="4">
        <v>100</v>
      </c>
      <c r="L22" s="4">
        <v>100</v>
      </c>
      <c r="M22" s="4">
        <v>100</v>
      </c>
      <c r="N22" s="14">
        <f t="shared" si="3"/>
        <v>3100</v>
      </c>
      <c r="O22" s="41"/>
      <c r="P22" s="41">
        <v>0</v>
      </c>
      <c r="Q22" s="41">
        <v>0</v>
      </c>
      <c r="R22" s="41">
        <v>6875</v>
      </c>
      <c r="S22" s="41">
        <v>18825</v>
      </c>
      <c r="T22" s="41">
        <v>0</v>
      </c>
      <c r="V22" s="41">
        <f t="shared" si="6"/>
        <v>6425</v>
      </c>
    </row>
    <row r="23" spans="1:22" x14ac:dyDescent="0.2">
      <c r="A23" s="18" t="s">
        <v>27</v>
      </c>
      <c r="B23" s="4">
        <f>+InterestExp!F6</f>
        <v>78733</v>
      </c>
      <c r="C23" s="4">
        <f>+InterestExp!F7</f>
        <v>76192</v>
      </c>
      <c r="D23" s="4">
        <f>+InterestExp!F8</f>
        <v>78734</v>
      </c>
      <c r="E23" s="4">
        <f>+InterestExp!F9</f>
        <v>78731</v>
      </c>
      <c r="F23" s="4">
        <f>+InterestExp!F10</f>
        <v>33017</v>
      </c>
      <c r="G23" s="4">
        <f>+InterestExp!F11</f>
        <v>78733</v>
      </c>
      <c r="H23" s="4">
        <f>+InterestExp!F12</f>
        <v>76192</v>
      </c>
      <c r="I23" s="4">
        <f>+InterestExp!F13</f>
        <v>78732</v>
      </c>
      <c r="J23" s="4">
        <f>+InterestExp!F14</f>
        <v>76194</v>
      </c>
      <c r="K23" s="4">
        <f>+InterestExp!F15</f>
        <v>78732</v>
      </c>
      <c r="L23" s="4">
        <f>+InterestExp!F16</f>
        <v>39161</v>
      </c>
      <c r="M23" s="4">
        <f>+InterestExp!F17</f>
        <v>73426</v>
      </c>
      <c r="N23" s="3">
        <f t="shared" si="3"/>
        <v>846577</v>
      </c>
      <c r="O23" s="42"/>
      <c r="P23" s="41">
        <v>795623</v>
      </c>
      <c r="Q23" s="41">
        <f t="shared" ref="Q23" si="7">+(P23/10)*12</f>
        <v>954747.60000000009</v>
      </c>
      <c r="R23" s="41">
        <v>992497</v>
      </c>
      <c r="S23" s="41">
        <v>1077142.1100000001</v>
      </c>
      <c r="T23" s="41">
        <v>1311821.69</v>
      </c>
      <c r="V23" s="42">
        <f t="shared" si="6"/>
        <v>1084052.1000000001</v>
      </c>
    </row>
    <row r="24" spans="1:22" x14ac:dyDescent="0.2">
      <c r="A24" s="47" t="s">
        <v>56</v>
      </c>
      <c r="B24" s="4">
        <v>0</v>
      </c>
      <c r="C24" s="4">
        <v>0</v>
      </c>
      <c r="D24" s="4">
        <v>0</v>
      </c>
      <c r="E24" s="4">
        <v>0</v>
      </c>
      <c r="F24" s="4">
        <v>50</v>
      </c>
      <c r="G24" s="4">
        <v>0</v>
      </c>
      <c r="H24" s="4">
        <v>0</v>
      </c>
      <c r="I24" s="4">
        <v>0</v>
      </c>
      <c r="J24" s="4">
        <v>0</v>
      </c>
      <c r="K24" s="4">
        <v>0</v>
      </c>
      <c r="L24" s="4">
        <v>0</v>
      </c>
      <c r="M24" s="4">
        <v>0</v>
      </c>
      <c r="N24" s="3">
        <f t="shared" si="3"/>
        <v>50</v>
      </c>
      <c r="O24" s="42"/>
      <c r="P24" s="41">
        <v>0</v>
      </c>
      <c r="Q24" s="41">
        <f t="shared" ref="Q24:Q25" si="8">+(P24/10)*12</f>
        <v>0</v>
      </c>
      <c r="R24" s="41">
        <v>52.75</v>
      </c>
      <c r="S24" s="41">
        <v>27</v>
      </c>
      <c r="T24" s="41">
        <v>54</v>
      </c>
      <c r="V24" s="42">
        <f t="shared" si="6"/>
        <v>33.4375</v>
      </c>
    </row>
    <row r="25" spans="1:22" x14ac:dyDescent="0.2">
      <c r="A25" s="47" t="s">
        <v>57</v>
      </c>
      <c r="B25" s="4">
        <v>0</v>
      </c>
      <c r="C25" s="4">
        <v>0</v>
      </c>
      <c r="D25" s="4">
        <v>0</v>
      </c>
      <c r="E25" s="4">
        <v>0</v>
      </c>
      <c r="F25" s="4">
        <v>0</v>
      </c>
      <c r="G25" s="4">
        <v>0</v>
      </c>
      <c r="H25" s="4">
        <v>0</v>
      </c>
      <c r="I25" s="4">
        <v>0</v>
      </c>
      <c r="J25" s="4">
        <v>0</v>
      </c>
      <c r="K25" s="4">
        <v>0</v>
      </c>
      <c r="L25" s="4">
        <v>0</v>
      </c>
      <c r="M25" s="4">
        <v>0</v>
      </c>
      <c r="N25" s="3">
        <f t="shared" si="3"/>
        <v>0</v>
      </c>
      <c r="O25" s="42"/>
      <c r="P25" s="41">
        <v>0</v>
      </c>
      <c r="Q25" s="41">
        <f t="shared" si="8"/>
        <v>0</v>
      </c>
      <c r="R25" s="41">
        <v>0</v>
      </c>
      <c r="S25" s="41">
        <v>0</v>
      </c>
      <c r="T25" s="41">
        <v>0</v>
      </c>
      <c r="V25" s="42">
        <f>AVERAGE(Q25:T25)</f>
        <v>0</v>
      </c>
    </row>
    <row r="26" spans="1:22" x14ac:dyDescent="0.2">
      <c r="A26" s="47" t="s">
        <v>58</v>
      </c>
      <c r="B26" s="4">
        <v>0</v>
      </c>
      <c r="C26" s="4">
        <v>0</v>
      </c>
      <c r="D26" s="4">
        <v>0</v>
      </c>
      <c r="E26" s="4">
        <v>0</v>
      </c>
      <c r="F26" s="4">
        <v>0</v>
      </c>
      <c r="G26" s="4">
        <v>0</v>
      </c>
      <c r="H26" s="4">
        <v>0</v>
      </c>
      <c r="I26" s="4">
        <v>0</v>
      </c>
      <c r="J26" s="4">
        <v>0</v>
      </c>
      <c r="K26" s="4">
        <v>0</v>
      </c>
      <c r="L26" s="4">
        <v>0</v>
      </c>
      <c r="M26" s="4">
        <v>0</v>
      </c>
      <c r="N26" s="3">
        <f t="shared" si="3"/>
        <v>0</v>
      </c>
      <c r="O26" s="42"/>
      <c r="P26" s="41">
        <v>0</v>
      </c>
      <c r="Q26" s="41">
        <f>+(P26/10)*12</f>
        <v>0</v>
      </c>
      <c r="R26" s="41">
        <v>0</v>
      </c>
      <c r="S26" s="41">
        <v>0</v>
      </c>
      <c r="T26" s="41">
        <v>0</v>
      </c>
      <c r="V26" s="42">
        <f t="shared" si="6"/>
        <v>0</v>
      </c>
    </row>
    <row r="27" spans="1:22" x14ac:dyDescent="0.2">
      <c r="A27" s="47" t="s">
        <v>60</v>
      </c>
      <c r="B27" s="4">
        <v>0</v>
      </c>
      <c r="C27" s="4">
        <v>0</v>
      </c>
      <c r="D27" s="4">
        <v>0</v>
      </c>
      <c r="E27" s="4">
        <v>0</v>
      </c>
      <c r="F27" s="4">
        <v>0</v>
      </c>
      <c r="G27" s="4">
        <v>0</v>
      </c>
      <c r="H27" s="4">
        <v>0</v>
      </c>
      <c r="I27" s="4">
        <v>0</v>
      </c>
      <c r="J27" s="4">
        <v>0</v>
      </c>
      <c r="K27" s="4">
        <v>0</v>
      </c>
      <c r="L27" s="4">
        <v>0</v>
      </c>
      <c r="M27" s="4">
        <v>0</v>
      </c>
      <c r="N27" s="3">
        <f t="shared" si="3"/>
        <v>0</v>
      </c>
      <c r="O27" s="42"/>
      <c r="P27" s="41">
        <v>0</v>
      </c>
      <c r="Q27" s="41">
        <f>+(P27/10)*12</f>
        <v>0</v>
      </c>
      <c r="R27" s="41">
        <v>0</v>
      </c>
      <c r="S27" s="41">
        <v>0</v>
      </c>
      <c r="T27" s="41">
        <v>0</v>
      </c>
      <c r="V27" s="42">
        <f t="shared" si="6"/>
        <v>0</v>
      </c>
    </row>
    <row r="28" spans="1:22" s="6" customFormat="1" x14ac:dyDescent="0.2">
      <c r="A28" s="18" t="s">
        <v>30</v>
      </c>
      <c r="B28" s="7">
        <f>+Depreciation!G11</f>
        <v>60615.303333333337</v>
      </c>
      <c r="C28" s="7">
        <f>+B28</f>
        <v>60615.303333333337</v>
      </c>
      <c r="D28" s="7">
        <f t="shared" ref="D28:M28" si="9">+C28</f>
        <v>60615.303333333337</v>
      </c>
      <c r="E28" s="7">
        <f t="shared" si="9"/>
        <v>60615.303333333337</v>
      </c>
      <c r="F28" s="7">
        <f t="shared" si="9"/>
        <v>60615.303333333337</v>
      </c>
      <c r="G28" s="7">
        <f t="shared" si="9"/>
        <v>60615.303333333337</v>
      </c>
      <c r="H28" s="7">
        <f t="shared" si="9"/>
        <v>60615.303333333337</v>
      </c>
      <c r="I28" s="7">
        <f t="shared" si="9"/>
        <v>60615.303333333337</v>
      </c>
      <c r="J28" s="7">
        <f t="shared" si="9"/>
        <v>60615.303333333337</v>
      </c>
      <c r="K28" s="7">
        <f t="shared" si="9"/>
        <v>60615.303333333337</v>
      </c>
      <c r="L28" s="7">
        <f t="shared" si="9"/>
        <v>60615.303333333337</v>
      </c>
      <c r="M28" s="7">
        <f t="shared" si="9"/>
        <v>60615.303333333337</v>
      </c>
      <c r="N28" s="14">
        <f t="shared" si="3"/>
        <v>727383.64</v>
      </c>
      <c r="O28" s="41"/>
      <c r="P28" s="41">
        <v>611890</v>
      </c>
      <c r="Q28" s="41">
        <f>+(P28/10)*12</f>
        <v>734268</v>
      </c>
      <c r="R28" s="41">
        <v>1213208.3600000001</v>
      </c>
      <c r="S28" s="41">
        <v>1235654.28</v>
      </c>
      <c r="T28" s="41">
        <v>1412168.76</v>
      </c>
      <c r="V28" s="41">
        <f t="shared" si="6"/>
        <v>1148824.8500000001</v>
      </c>
    </row>
    <row r="29" spans="1:22" s="6" customFormat="1" x14ac:dyDescent="0.2">
      <c r="A29" s="47" t="s">
        <v>61</v>
      </c>
      <c r="B29" s="7">
        <v>0</v>
      </c>
      <c r="C29" s="7">
        <v>10000</v>
      </c>
      <c r="D29" s="7">
        <v>0</v>
      </c>
      <c r="E29" s="7">
        <v>0</v>
      </c>
      <c r="F29" s="7">
        <v>0</v>
      </c>
      <c r="G29" s="7">
        <v>0</v>
      </c>
      <c r="H29" s="7">
        <v>0</v>
      </c>
      <c r="I29" s="7">
        <v>0</v>
      </c>
      <c r="J29" s="7">
        <v>0</v>
      </c>
      <c r="K29" s="7">
        <v>0</v>
      </c>
      <c r="L29" s="7">
        <v>0</v>
      </c>
      <c r="M29" s="7">
        <v>0</v>
      </c>
      <c r="N29" s="14">
        <f t="shared" si="3"/>
        <v>10000</v>
      </c>
      <c r="O29" s="41"/>
      <c r="P29" s="41">
        <v>51307.21</v>
      </c>
      <c r="Q29" s="41">
        <f>+P29</f>
        <v>51307.21</v>
      </c>
      <c r="R29" s="41">
        <v>0</v>
      </c>
      <c r="S29" s="41">
        <v>215</v>
      </c>
      <c r="T29" s="41">
        <f>200+1375+84.13</f>
        <v>1659.13</v>
      </c>
      <c r="V29" s="41">
        <f t="shared" si="6"/>
        <v>13295.334999999999</v>
      </c>
    </row>
    <row r="30" spans="1:22" ht="15" x14ac:dyDescent="0.35">
      <c r="A30" s="18" t="s">
        <v>31</v>
      </c>
      <c r="B30" s="29">
        <f>+'Appraisal Fees'!$B$4/12</f>
        <v>3665.0275000000001</v>
      </c>
      <c r="C30" s="29">
        <f>+'Appraisal Fees'!$B$4/12</f>
        <v>3665.0275000000001</v>
      </c>
      <c r="D30" s="29">
        <f>+'Appraisal Fees'!$B$4/12</f>
        <v>3665.0275000000001</v>
      </c>
      <c r="E30" s="29">
        <f>+'Appraisal Fees'!$B$4/12</f>
        <v>3665.0275000000001</v>
      </c>
      <c r="F30" s="29">
        <f>+'Appraisal Fees'!$B$4/12</f>
        <v>3665.0275000000001</v>
      </c>
      <c r="G30" s="29">
        <f>+'Appraisal Fees'!$B$4/12</f>
        <v>3665.0275000000001</v>
      </c>
      <c r="H30" s="29">
        <f>+'Appraisal Fees'!$B$4/12</f>
        <v>3665.0275000000001</v>
      </c>
      <c r="I30" s="29">
        <f>+'Appraisal Fees'!$B$4/12</f>
        <v>3665.0275000000001</v>
      </c>
      <c r="J30" s="29">
        <f>+'Appraisal Fees'!$B$4/12</f>
        <v>3665.0275000000001</v>
      </c>
      <c r="K30" s="29">
        <f>+'Appraisal Fees'!$B$4/12</f>
        <v>3665.0275000000001</v>
      </c>
      <c r="L30" s="29">
        <f>+'Appraisal Fees'!$B$4/12</f>
        <v>3665.0275000000001</v>
      </c>
      <c r="M30" s="29">
        <f>+'Appraisal Fees'!$B$4/12</f>
        <v>3665.0275000000001</v>
      </c>
      <c r="N30" s="54">
        <f t="shared" si="3"/>
        <v>43980.329999999987</v>
      </c>
      <c r="O30" s="43"/>
      <c r="P30" s="32">
        <v>33759.33</v>
      </c>
      <c r="Q30" s="32">
        <f>+(P30/10)*12</f>
        <v>40511.195999999996</v>
      </c>
      <c r="R30" s="32">
        <v>39159.39</v>
      </c>
      <c r="S30" s="32">
        <v>37561.050000000003</v>
      </c>
      <c r="T30" s="32">
        <v>38076.35</v>
      </c>
      <c r="V30" s="43">
        <f t="shared" si="6"/>
        <v>38826.996500000001</v>
      </c>
    </row>
    <row r="31" spans="1:22" s="15" customFormat="1" x14ac:dyDescent="0.2">
      <c r="A31" s="15" t="s">
        <v>22</v>
      </c>
      <c r="B31" s="31">
        <f>SUM(B17:B30)</f>
        <v>143113.33083333334</v>
      </c>
      <c r="C31" s="31">
        <f t="shared" ref="C31:N31" si="10">SUM(C17:C30)</f>
        <v>152472.33083333334</v>
      </c>
      <c r="D31" s="31">
        <f t="shared" si="10"/>
        <v>143114.33083333334</v>
      </c>
      <c r="E31" s="31">
        <f t="shared" si="10"/>
        <v>143111.33083333334</v>
      </c>
      <c r="F31" s="31">
        <f t="shared" si="10"/>
        <v>97447.330833333341</v>
      </c>
      <c r="G31" s="31">
        <f t="shared" si="10"/>
        <v>143113.33083333334</v>
      </c>
      <c r="H31" s="31">
        <f t="shared" si="10"/>
        <v>167107.33083333334</v>
      </c>
      <c r="I31" s="31">
        <f t="shared" si="10"/>
        <v>143112.33083333334</v>
      </c>
      <c r="J31" s="31">
        <f t="shared" si="10"/>
        <v>140574.33083333334</v>
      </c>
      <c r="K31" s="31">
        <f t="shared" si="10"/>
        <v>143112.33083333334</v>
      </c>
      <c r="L31" s="31">
        <f t="shared" si="10"/>
        <v>103541.33083333334</v>
      </c>
      <c r="M31" s="31">
        <f t="shared" si="10"/>
        <v>137806.33083333334</v>
      </c>
      <c r="N31" s="31">
        <f t="shared" si="10"/>
        <v>1657625.9700000002</v>
      </c>
      <c r="O31" s="31"/>
      <c r="P31" s="31">
        <f>SUM(P17:P30)</f>
        <v>1518340.8900000001</v>
      </c>
      <c r="Q31" s="31">
        <f>SUM(Q17:Q30)</f>
        <v>1806595.3560000001</v>
      </c>
      <c r="R31" s="31">
        <f>SUM(R17:R30)</f>
        <v>2267439.8400000003</v>
      </c>
      <c r="S31" s="31">
        <f>SUM(S17:S30)</f>
        <v>2383474.44</v>
      </c>
      <c r="T31" s="31">
        <f>SUM(T17:T30)</f>
        <v>2783681.3299999996</v>
      </c>
      <c r="V31" s="31">
        <f>SUM(V17:V30)</f>
        <v>2310297.7415</v>
      </c>
    </row>
    <row r="32" spans="1:22" s="6" customFormat="1" x14ac:dyDescent="0.2">
      <c r="B32" s="5" t="s">
        <v>14</v>
      </c>
      <c r="C32" s="5" t="s">
        <v>14</v>
      </c>
      <c r="D32" s="5" t="s">
        <v>14</v>
      </c>
      <c r="E32" s="5" t="s">
        <v>14</v>
      </c>
      <c r="F32" s="5" t="s">
        <v>14</v>
      </c>
      <c r="G32" s="5" t="s">
        <v>14</v>
      </c>
      <c r="H32" s="5" t="s">
        <v>14</v>
      </c>
      <c r="I32" s="5" t="s">
        <v>14</v>
      </c>
      <c r="J32" s="5" t="s">
        <v>14</v>
      </c>
      <c r="K32" s="5" t="s">
        <v>14</v>
      </c>
      <c r="L32" s="5" t="s">
        <v>14</v>
      </c>
      <c r="M32" s="5" t="s">
        <v>14</v>
      </c>
      <c r="N32" s="48" t="s">
        <v>14</v>
      </c>
      <c r="O32" s="5"/>
      <c r="P32" s="5" t="s">
        <v>14</v>
      </c>
      <c r="Q32" s="5" t="s">
        <v>14</v>
      </c>
      <c r="R32" s="5" t="s">
        <v>14</v>
      </c>
      <c r="S32" s="5" t="s">
        <v>14</v>
      </c>
      <c r="T32" s="5" t="s">
        <v>14</v>
      </c>
      <c r="V32" s="5" t="s">
        <v>14</v>
      </c>
    </row>
    <row r="33" spans="1:22" s="15" customFormat="1" x14ac:dyDescent="0.2">
      <c r="A33" s="15" t="s">
        <v>16</v>
      </c>
      <c r="B33" s="31">
        <f>SUM(B16+B31)</f>
        <v>145620.83083333334</v>
      </c>
      <c r="C33" s="31">
        <f t="shared" ref="C33:N33" si="11">SUM(C16+C31)</f>
        <v>154979.83083333334</v>
      </c>
      <c r="D33" s="31">
        <f t="shared" si="11"/>
        <v>145621.83083333334</v>
      </c>
      <c r="E33" s="31">
        <f t="shared" si="11"/>
        <v>145618.83083333334</v>
      </c>
      <c r="F33" s="31">
        <f t="shared" si="11"/>
        <v>99954.830833333341</v>
      </c>
      <c r="G33" s="31">
        <f t="shared" si="11"/>
        <v>145620.83083333334</v>
      </c>
      <c r="H33" s="31">
        <f t="shared" si="11"/>
        <v>169614.83083333334</v>
      </c>
      <c r="I33" s="31">
        <f t="shared" si="11"/>
        <v>145619.83083333334</v>
      </c>
      <c r="J33" s="31">
        <f t="shared" si="11"/>
        <v>143081.83083333334</v>
      </c>
      <c r="K33" s="31">
        <f t="shared" si="11"/>
        <v>145619.83083333334</v>
      </c>
      <c r="L33" s="31">
        <f t="shared" si="11"/>
        <v>106048.83083333334</v>
      </c>
      <c r="M33" s="31">
        <f t="shared" si="11"/>
        <v>140313.83083333334</v>
      </c>
      <c r="N33" s="31">
        <f t="shared" si="11"/>
        <v>1687715.9700000002</v>
      </c>
      <c r="O33" s="31"/>
      <c r="P33" s="31">
        <f>SUM(P16+P31)</f>
        <v>1542705.8900000001</v>
      </c>
      <c r="Q33" s="31">
        <f>SUM(Q16+Q31)</f>
        <v>1835833.3560000001</v>
      </c>
      <c r="R33" s="31">
        <f>SUM(R16+R31)</f>
        <v>2295227.64</v>
      </c>
      <c r="S33" s="31">
        <f>SUM(S16+S31)</f>
        <v>2409945.6</v>
      </c>
      <c r="T33" s="31">
        <f>SUM(T16+T31)</f>
        <v>2810340.9599999995</v>
      </c>
      <c r="V33" s="31">
        <f>SUM(V16+V31)</f>
        <v>2337836.889</v>
      </c>
    </row>
    <row r="34" spans="1:22" s="6" customFormat="1" x14ac:dyDescent="0.2">
      <c r="B34" s="5" t="s">
        <v>14</v>
      </c>
      <c r="C34" s="5" t="s">
        <v>14</v>
      </c>
      <c r="D34" s="5" t="s">
        <v>14</v>
      </c>
      <c r="E34" s="5" t="s">
        <v>14</v>
      </c>
      <c r="F34" s="5" t="s">
        <v>14</v>
      </c>
      <c r="G34" s="5" t="s">
        <v>14</v>
      </c>
      <c r="H34" s="5" t="s">
        <v>14</v>
      </c>
      <c r="I34" s="5" t="s">
        <v>14</v>
      </c>
      <c r="J34" s="5" t="s">
        <v>14</v>
      </c>
      <c r="K34" s="5" t="s">
        <v>14</v>
      </c>
      <c r="L34" s="5" t="s">
        <v>14</v>
      </c>
      <c r="M34" s="5" t="s">
        <v>14</v>
      </c>
      <c r="N34" s="48" t="s">
        <v>14</v>
      </c>
      <c r="O34" s="5"/>
      <c r="P34" s="5" t="s">
        <v>14</v>
      </c>
      <c r="Q34" s="5" t="s">
        <v>14</v>
      </c>
      <c r="R34" s="5" t="s">
        <v>14</v>
      </c>
      <c r="S34" s="5" t="s">
        <v>14</v>
      </c>
      <c r="T34" s="5" t="s">
        <v>14</v>
      </c>
      <c r="V34" s="5" t="s">
        <v>14</v>
      </c>
    </row>
    <row r="35" spans="1:22" s="15" customFormat="1" x14ac:dyDescent="0.2">
      <c r="A35" s="15" t="s">
        <v>13</v>
      </c>
      <c r="B35" s="31">
        <f t="shared" ref="B35:N35" si="12">+B12-B33</f>
        <v>153578.57762360692</v>
      </c>
      <c r="C35" s="31">
        <f t="shared" si="12"/>
        <v>120811.22294999284</v>
      </c>
      <c r="D35" s="31">
        <f t="shared" si="12"/>
        <v>1661388.6662212592</v>
      </c>
      <c r="E35" s="31">
        <f t="shared" si="12"/>
        <v>468969.88618385699</v>
      </c>
      <c r="F35" s="31">
        <f t="shared" si="12"/>
        <v>97162.624150872434</v>
      </c>
      <c r="G35" s="31">
        <f t="shared" si="12"/>
        <v>191318.38219789384</v>
      </c>
      <c r="H35" s="31">
        <f t="shared" si="12"/>
        <v>222096.20229791946</v>
      </c>
      <c r="I35" s="31">
        <f t="shared" si="12"/>
        <v>151060.21301337078</v>
      </c>
      <c r="J35" s="31">
        <f t="shared" si="12"/>
        <v>-23570.516078502522</v>
      </c>
      <c r="K35" s="31">
        <f t="shared" si="12"/>
        <v>162254.75832726221</v>
      </c>
      <c r="L35" s="31">
        <f t="shared" si="12"/>
        <v>201629.58554061266</v>
      </c>
      <c r="M35" s="31">
        <f t="shared" si="12"/>
        <v>-537949.7124281443</v>
      </c>
      <c r="N35" s="31">
        <f t="shared" si="12"/>
        <v>2868749.8899999992</v>
      </c>
      <c r="O35" s="31"/>
      <c r="P35" s="31">
        <f>+P12-P33</f>
        <v>394286.83999999985</v>
      </c>
      <c r="Q35" s="31">
        <f>+Q12-Q33</f>
        <v>-28436.365999999456</v>
      </c>
      <c r="R35" s="31">
        <f>+R12-R33</f>
        <v>584438.38999999966</v>
      </c>
      <c r="S35" s="31">
        <f>+S12-S33</f>
        <v>319193.37999999942</v>
      </c>
      <c r="T35" s="31">
        <f>+T12-T33</f>
        <v>-1248083.1899999995</v>
      </c>
      <c r="V35" s="31">
        <f>+V12-V33</f>
        <v>-93221.946500000544</v>
      </c>
    </row>
    <row r="36" spans="1:22" x14ac:dyDescent="0.2">
      <c r="B36" s="2"/>
      <c r="C36" s="2"/>
      <c r="D36" s="2"/>
      <c r="E36" s="2"/>
      <c r="F36" s="2"/>
      <c r="G36" s="2"/>
      <c r="H36" s="2"/>
      <c r="I36" s="2"/>
      <c r="J36" s="4"/>
      <c r="K36" s="4"/>
      <c r="L36" s="4"/>
      <c r="M36" s="4"/>
    </row>
    <row r="37" spans="1:22" x14ac:dyDescent="0.2">
      <c r="P37" s="7"/>
      <c r="R37" s="7"/>
      <c r="S37" s="22"/>
      <c r="T37" s="22"/>
    </row>
    <row r="38" spans="1:22" x14ac:dyDescent="0.2">
      <c r="B38" s="2"/>
      <c r="C38" s="2"/>
      <c r="D38" s="2"/>
      <c r="E38" s="2"/>
      <c r="F38" s="2"/>
      <c r="G38" s="2"/>
      <c r="H38" s="2"/>
      <c r="I38" s="2"/>
      <c r="J38" s="4"/>
      <c r="K38" s="4"/>
      <c r="L38" s="4"/>
      <c r="M38" s="4"/>
      <c r="R38" s="7"/>
    </row>
  </sheetData>
  <pageMargins left="0.7" right="0.7" top="0.75" bottom="0.75" header="0.3" footer="0.3"/>
  <pageSetup scale="4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8E0B-04B8-4D59-BBB7-4C56A53985F7}">
  <sheetPr>
    <pageSetUpPr fitToPage="1"/>
  </sheetPr>
  <dimension ref="A1:E36"/>
  <sheetViews>
    <sheetView workbookViewId="0">
      <selection activeCell="H24" sqref="H24"/>
    </sheetView>
  </sheetViews>
  <sheetFormatPr defaultRowHeight="12.75" x14ac:dyDescent="0.2"/>
  <cols>
    <col min="1" max="1" width="33.140625" bestFit="1" customWidth="1"/>
    <col min="2" max="3" width="20.140625" bestFit="1" customWidth="1"/>
    <col min="4" max="4" width="1.85546875" customWidth="1"/>
    <col min="5" max="5" width="19.140625" bestFit="1" customWidth="1"/>
  </cols>
  <sheetData>
    <row r="1" spans="1:5" x14ac:dyDescent="0.2">
      <c r="A1" s="15" t="s">
        <v>15</v>
      </c>
    </row>
    <row r="2" spans="1:5" x14ac:dyDescent="0.2">
      <c r="A2" s="15" t="s">
        <v>122</v>
      </c>
    </row>
    <row r="3" spans="1:5" x14ac:dyDescent="0.2">
      <c r="A3" s="15" t="s">
        <v>72</v>
      </c>
    </row>
    <row r="4" spans="1:5" x14ac:dyDescent="0.2">
      <c r="A4" s="53"/>
    </row>
    <row r="5" spans="1:5" x14ac:dyDescent="0.2">
      <c r="A5" s="6"/>
      <c r="B5" s="16" t="s">
        <v>73</v>
      </c>
      <c r="C5" s="16" t="s">
        <v>74</v>
      </c>
      <c r="E5" s="1" t="s">
        <v>75</v>
      </c>
    </row>
    <row r="6" spans="1:5" x14ac:dyDescent="0.2">
      <c r="A6" s="6"/>
      <c r="B6" s="17">
        <v>2023</v>
      </c>
      <c r="C6" s="17">
        <v>2022</v>
      </c>
    </row>
    <row r="7" spans="1:5" x14ac:dyDescent="0.2">
      <c r="A7" s="11"/>
      <c r="B7" s="13"/>
      <c r="C7" s="13"/>
    </row>
    <row r="8" spans="1:5" x14ac:dyDescent="0.2">
      <c r="A8" s="11" t="s">
        <v>23</v>
      </c>
      <c r="B8" s="49">
        <f>+'2023 HCHD Budget'!N7</f>
        <v>-1336291</v>
      </c>
      <c r="C8" s="49">
        <v>-3402000</v>
      </c>
      <c r="E8" s="49">
        <f>+B8-C8</f>
        <v>2065709</v>
      </c>
    </row>
    <row r="9" spans="1:5" x14ac:dyDescent="0.2">
      <c r="A9" s="11" t="s">
        <v>17</v>
      </c>
      <c r="B9" s="14">
        <f>+'2023 HCHD Budget'!N8</f>
        <v>73976</v>
      </c>
      <c r="C9" s="14">
        <v>88254.87000000001</v>
      </c>
      <c r="E9" s="14">
        <f t="shared" ref="E9:E12" si="0">+B9-C9</f>
        <v>-14278.87000000001</v>
      </c>
    </row>
    <row r="10" spans="1:5" x14ac:dyDescent="0.2">
      <c r="A10" s="11" t="s">
        <v>24</v>
      </c>
      <c r="B10" s="14">
        <f>+'2023 HCHD Budget'!N9</f>
        <v>3500000</v>
      </c>
      <c r="C10" s="14">
        <v>3500000</v>
      </c>
      <c r="E10" s="14">
        <f t="shared" si="0"/>
        <v>0</v>
      </c>
    </row>
    <row r="11" spans="1:5" x14ac:dyDescent="0.2">
      <c r="A11" s="53" t="s">
        <v>71</v>
      </c>
      <c r="B11" s="31">
        <f>+'2023 HCHD Budget'!N10</f>
        <v>2400</v>
      </c>
      <c r="C11" s="31">
        <v>2400</v>
      </c>
      <c r="E11" s="31">
        <f t="shared" si="0"/>
        <v>0</v>
      </c>
    </row>
    <row r="12" spans="1:5" x14ac:dyDescent="0.2">
      <c r="A12" s="11" t="s">
        <v>18</v>
      </c>
      <c r="B12" s="50">
        <f>+'2023 HCHD Budget'!N11</f>
        <v>2316380.86</v>
      </c>
      <c r="C12" s="50">
        <v>2540099.7900000005</v>
      </c>
      <c r="E12" s="50">
        <f t="shared" si="0"/>
        <v>-223718.93000000063</v>
      </c>
    </row>
    <row r="13" spans="1:5" x14ac:dyDescent="0.2">
      <c r="A13" s="1" t="s">
        <v>19</v>
      </c>
      <c r="B13" s="45">
        <f>+'2023 HCHD Budget'!N12</f>
        <v>4556465.8599999994</v>
      </c>
      <c r="C13" s="44">
        <v>2728754.6600000006</v>
      </c>
      <c r="E13" s="45">
        <f>+B13-C13</f>
        <v>1827711.1999999988</v>
      </c>
    </row>
    <row r="14" spans="1:5" x14ac:dyDescent="0.2">
      <c r="A14" s="6"/>
      <c r="B14" s="15"/>
      <c r="C14" s="15"/>
      <c r="E14" s="15"/>
    </row>
    <row r="15" spans="1:5" x14ac:dyDescent="0.2">
      <c r="A15" s="53" t="s">
        <v>64</v>
      </c>
      <c r="B15" s="14">
        <f>+'2023 HCHD Budget'!N14</f>
        <v>15900</v>
      </c>
      <c r="C15" s="14">
        <v>15120</v>
      </c>
      <c r="E15" s="14">
        <f t="shared" ref="E15:E16" si="1">+B15-C15</f>
        <v>780</v>
      </c>
    </row>
    <row r="16" spans="1:5" ht="15" x14ac:dyDescent="0.35">
      <c r="A16" s="11" t="s">
        <v>20</v>
      </c>
      <c r="B16" s="19">
        <f>+'2023 HCHD Budget'!N15</f>
        <v>14190</v>
      </c>
      <c r="C16" s="54">
        <v>14190</v>
      </c>
      <c r="E16" s="19">
        <f t="shared" si="1"/>
        <v>0</v>
      </c>
    </row>
    <row r="17" spans="1:5" x14ac:dyDescent="0.2">
      <c r="A17" s="15" t="s">
        <v>21</v>
      </c>
      <c r="B17" s="31">
        <f>+'2023 HCHD Budget'!N16</f>
        <v>30090</v>
      </c>
      <c r="C17" s="31">
        <v>29310</v>
      </c>
      <c r="E17" s="31">
        <f>+B17-C17</f>
        <v>780</v>
      </c>
    </row>
    <row r="18" spans="1:5" x14ac:dyDescent="0.2">
      <c r="A18" s="18" t="s">
        <v>25</v>
      </c>
      <c r="B18" s="14">
        <f>+'2023 HCHD Budget'!N17</f>
        <v>14035</v>
      </c>
      <c r="C18" s="14">
        <v>13350</v>
      </c>
      <c r="E18" s="14">
        <f t="shared" ref="E18:E31" si="2">+B18-C18</f>
        <v>685</v>
      </c>
    </row>
    <row r="19" spans="1:5" x14ac:dyDescent="0.2">
      <c r="A19" s="47" t="s">
        <v>54</v>
      </c>
      <c r="B19" s="14">
        <f>+'2023 HCHD Budget'!N18</f>
        <v>0</v>
      </c>
      <c r="C19" s="14">
        <v>0</v>
      </c>
      <c r="E19" s="14">
        <f t="shared" si="2"/>
        <v>0</v>
      </c>
    </row>
    <row r="20" spans="1:5" x14ac:dyDescent="0.2">
      <c r="A20" s="18" t="s">
        <v>32</v>
      </c>
      <c r="B20" s="3">
        <f>+'2023 HCHD Budget'!N19</f>
        <v>10000</v>
      </c>
      <c r="C20" s="14">
        <v>10000</v>
      </c>
      <c r="E20" s="3">
        <f t="shared" si="2"/>
        <v>0</v>
      </c>
    </row>
    <row r="21" spans="1:5" x14ac:dyDescent="0.2">
      <c r="A21" s="18" t="s">
        <v>26</v>
      </c>
      <c r="B21" s="3">
        <f>+'2023 HCHD Budget'!N20</f>
        <v>0</v>
      </c>
      <c r="C21" s="14">
        <v>0</v>
      </c>
      <c r="E21" s="3">
        <f t="shared" si="2"/>
        <v>0</v>
      </c>
    </row>
    <row r="22" spans="1:5" x14ac:dyDescent="0.2">
      <c r="A22" s="18" t="s">
        <v>28</v>
      </c>
      <c r="B22" s="3">
        <f>+'2023 HCHD Budget'!N21</f>
        <v>2500</v>
      </c>
      <c r="C22" s="14">
        <v>2500</v>
      </c>
      <c r="E22" s="3">
        <f t="shared" si="2"/>
        <v>0</v>
      </c>
    </row>
    <row r="23" spans="1:5" x14ac:dyDescent="0.2">
      <c r="A23" s="18" t="s">
        <v>29</v>
      </c>
      <c r="B23" s="14">
        <f>+'2023 HCHD Budget'!N22</f>
        <v>3100</v>
      </c>
      <c r="C23" s="14">
        <v>1200</v>
      </c>
      <c r="E23" s="14">
        <f t="shared" si="2"/>
        <v>1900</v>
      </c>
    </row>
    <row r="24" spans="1:5" x14ac:dyDescent="0.2">
      <c r="A24" s="18" t="s">
        <v>27</v>
      </c>
      <c r="B24" s="3">
        <f>+'2023 HCHD Budget'!N23</f>
        <v>846577</v>
      </c>
      <c r="C24" s="14">
        <v>875552.69863013714</v>
      </c>
      <c r="E24" s="3">
        <f t="shared" si="2"/>
        <v>-28975.698630137136</v>
      </c>
    </row>
    <row r="25" spans="1:5" x14ac:dyDescent="0.2">
      <c r="A25" s="47" t="s">
        <v>56</v>
      </c>
      <c r="B25" s="3">
        <f>+'2023 HCHD Budget'!N24</f>
        <v>50</v>
      </c>
      <c r="C25" s="14">
        <v>50</v>
      </c>
      <c r="E25" s="3">
        <f t="shared" si="2"/>
        <v>0</v>
      </c>
    </row>
    <row r="26" spans="1:5" x14ac:dyDescent="0.2">
      <c r="A26" s="47" t="s">
        <v>57</v>
      </c>
      <c r="B26" s="3">
        <f>+'2023 HCHD Budget'!N25</f>
        <v>0</v>
      </c>
      <c r="C26" s="14">
        <v>0</v>
      </c>
      <c r="E26" s="3">
        <f t="shared" si="2"/>
        <v>0</v>
      </c>
    </row>
    <row r="27" spans="1:5" x14ac:dyDescent="0.2">
      <c r="A27" s="47" t="s">
        <v>58</v>
      </c>
      <c r="B27" s="3">
        <f>+'2023 HCHD Budget'!N26</f>
        <v>0</v>
      </c>
      <c r="C27" s="14">
        <v>0</v>
      </c>
      <c r="E27" s="3">
        <f t="shared" si="2"/>
        <v>0</v>
      </c>
    </row>
    <row r="28" spans="1:5" x14ac:dyDescent="0.2">
      <c r="A28" s="47" t="s">
        <v>60</v>
      </c>
      <c r="B28" s="3">
        <f>+'2023 HCHD Budget'!N27</f>
        <v>0</v>
      </c>
      <c r="C28" s="14">
        <v>0</v>
      </c>
      <c r="E28" s="3">
        <f t="shared" si="2"/>
        <v>0</v>
      </c>
    </row>
    <row r="29" spans="1:5" x14ac:dyDescent="0.2">
      <c r="A29" s="18" t="s">
        <v>30</v>
      </c>
      <c r="B29" s="14">
        <f>+'2023 HCHD Budget'!N28</f>
        <v>727383.64</v>
      </c>
      <c r="C29" s="14">
        <v>734267.9700000002</v>
      </c>
      <c r="E29" s="14">
        <f t="shared" si="2"/>
        <v>-6884.3300000001909</v>
      </c>
    </row>
    <row r="30" spans="1:5" x14ac:dyDescent="0.2">
      <c r="A30" s="47" t="s">
        <v>61</v>
      </c>
      <c r="B30" s="14">
        <f>+'2023 HCHD Budget'!N29</f>
        <v>10000</v>
      </c>
      <c r="C30" s="14">
        <v>0</v>
      </c>
      <c r="E30" s="14">
        <f t="shared" si="2"/>
        <v>10000</v>
      </c>
    </row>
    <row r="31" spans="1:5" ht="15" x14ac:dyDescent="0.35">
      <c r="A31" s="18" t="s">
        <v>31</v>
      </c>
      <c r="B31" s="54">
        <f>+'2023 HCHD Budget'!N30</f>
        <v>43980.329999999987</v>
      </c>
      <c r="C31" s="54">
        <v>41792.660000000003</v>
      </c>
      <c r="E31" s="54">
        <f t="shared" si="2"/>
        <v>2187.6699999999837</v>
      </c>
    </row>
    <row r="32" spans="1:5" x14ac:dyDescent="0.2">
      <c r="A32" s="15" t="s">
        <v>22</v>
      </c>
      <c r="B32" s="31">
        <f>+'2023 HCHD Budget'!N31</f>
        <v>1657625.9700000002</v>
      </c>
      <c r="C32" s="31">
        <v>1678713.3286301373</v>
      </c>
      <c r="E32" s="31">
        <f>+B32-C32</f>
        <v>-21087.358630137052</v>
      </c>
    </row>
    <row r="33" spans="1:5" x14ac:dyDescent="0.2">
      <c r="A33" s="6"/>
      <c r="B33" s="48" t="str">
        <f>+'2023 HCHD Budget'!N32</f>
        <v>--------------</v>
      </c>
      <c r="C33" s="48" t="s">
        <v>14</v>
      </c>
      <c r="E33" s="48" t="s">
        <v>14</v>
      </c>
    </row>
    <row r="34" spans="1:5" x14ac:dyDescent="0.2">
      <c r="A34" s="15" t="s">
        <v>16</v>
      </c>
      <c r="B34" s="31">
        <f>+'2023 HCHD Budget'!N33</f>
        <v>1687715.9700000002</v>
      </c>
      <c r="C34" s="31">
        <v>1708023.3286301373</v>
      </c>
      <c r="E34" s="31">
        <f>+B34-C34</f>
        <v>-20307.358630137052</v>
      </c>
    </row>
    <row r="35" spans="1:5" x14ac:dyDescent="0.2">
      <c r="A35" s="6"/>
      <c r="B35" s="48" t="str">
        <f>+'2023 HCHD Budget'!N34</f>
        <v>--------------</v>
      </c>
      <c r="C35" s="48" t="s">
        <v>14</v>
      </c>
      <c r="E35" s="48" t="s">
        <v>14</v>
      </c>
    </row>
    <row r="36" spans="1:5" x14ac:dyDescent="0.2">
      <c r="A36" s="15" t="s">
        <v>13</v>
      </c>
      <c r="B36" s="31">
        <f>+'2023 HCHD Budget'!N35</f>
        <v>2868749.8899999992</v>
      </c>
      <c r="C36" s="31">
        <v>1020731.3313698634</v>
      </c>
      <c r="E36" s="31">
        <f>+B36-C36</f>
        <v>1848018.5586301358</v>
      </c>
    </row>
  </sheetData>
  <pageMargins left="0.7" right="0.7" top="0.75" bottom="0.75" header="0.3" footer="0.3"/>
  <pageSetup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593-0942-4763-8E8E-72FF643C34DE}">
  <sheetPr>
    <pageSetUpPr fitToPage="1"/>
  </sheetPr>
  <dimension ref="A2:AG56"/>
  <sheetViews>
    <sheetView workbookViewId="0">
      <selection activeCell="I28" sqref="I28"/>
    </sheetView>
  </sheetViews>
  <sheetFormatPr defaultRowHeight="12.75" x14ac:dyDescent="0.2"/>
  <cols>
    <col min="1" max="1" width="31.85546875" style="76" customWidth="1"/>
    <col min="2" max="2" width="19.85546875" style="76" bestFit="1" customWidth="1"/>
    <col min="3" max="3" width="58.140625" style="76" bestFit="1" customWidth="1"/>
    <col min="4" max="4" width="14.7109375" style="76" customWidth="1"/>
    <col min="5" max="5" width="15.28515625" style="76" bestFit="1" customWidth="1"/>
    <col min="6" max="6" width="16.42578125" style="76" customWidth="1"/>
    <col min="7" max="7" width="19.140625" style="76" customWidth="1"/>
    <col min="8" max="8" width="15.140625" bestFit="1" customWidth="1"/>
    <col min="9" max="9" width="18.7109375" bestFit="1" customWidth="1"/>
  </cols>
  <sheetData>
    <row r="2" spans="1:29" ht="60" x14ac:dyDescent="0.2">
      <c r="A2" s="60" t="s">
        <v>76</v>
      </c>
      <c r="B2" s="60" t="s">
        <v>77</v>
      </c>
      <c r="C2" s="60" t="s">
        <v>78</v>
      </c>
      <c r="D2" s="61" t="s">
        <v>79</v>
      </c>
      <c r="E2" s="61" t="s">
        <v>80</v>
      </c>
      <c r="F2" s="61" t="s">
        <v>81</v>
      </c>
      <c r="G2" s="61" t="s">
        <v>82</v>
      </c>
      <c r="H2" s="62"/>
    </row>
    <row r="3" spans="1:29" ht="15" x14ac:dyDescent="0.25">
      <c r="A3" s="109">
        <v>44136</v>
      </c>
      <c r="B3" s="109" t="s">
        <v>83</v>
      </c>
      <c r="C3" s="109" t="s">
        <v>84</v>
      </c>
      <c r="D3" s="67">
        <f>777267/2</f>
        <v>388633.5</v>
      </c>
      <c r="E3" s="64">
        <v>158291</v>
      </c>
      <c r="F3" s="63" t="e">
        <f>#REF!+#REF!+G19</f>
        <v>#REF!</v>
      </c>
      <c r="G3" s="65" t="e">
        <f t="shared" ref="G3:G16" si="0">F3-E3</f>
        <v>#REF!</v>
      </c>
    </row>
    <row r="4" spans="1:29" x14ac:dyDescent="0.2">
      <c r="A4" s="109">
        <v>44197</v>
      </c>
      <c r="B4" s="109">
        <v>44227</v>
      </c>
      <c r="C4" s="109" t="s">
        <v>85</v>
      </c>
      <c r="D4" s="67">
        <v>891076.39</v>
      </c>
      <c r="E4" s="63">
        <f>ROUND(D4*(1-($B$21+0.062)),-3)</f>
        <v>285000</v>
      </c>
      <c r="F4" s="63" t="e">
        <f>ROUND(G3+(SUM(G20:G21)),-3)</f>
        <v>#REF!</v>
      </c>
      <c r="G4" s="65" t="e">
        <f t="shared" si="0"/>
        <v>#REF!</v>
      </c>
    </row>
    <row r="5" spans="1:29" x14ac:dyDescent="0.2">
      <c r="A5" s="109">
        <v>44231</v>
      </c>
      <c r="B5" s="109">
        <v>44253</v>
      </c>
      <c r="C5" s="109" t="s">
        <v>86</v>
      </c>
      <c r="D5" s="67">
        <f>B27*0.3</f>
        <v>762535.2</v>
      </c>
      <c r="E5" s="63">
        <f>ROUND(D5*(1-B21),-3)</f>
        <v>291000</v>
      </c>
      <c r="F5" s="63" t="e">
        <f>ROUND(G4+(SUM(G22)),-3)</f>
        <v>#REF!</v>
      </c>
      <c r="G5" s="65" t="e">
        <f t="shared" si="0"/>
        <v>#REF!</v>
      </c>
    </row>
    <row r="6" spans="1:29" x14ac:dyDescent="0.2">
      <c r="A6" s="109">
        <v>44258</v>
      </c>
      <c r="B6" s="109">
        <v>44316</v>
      </c>
      <c r="C6" s="109" t="s">
        <v>87</v>
      </c>
      <c r="D6" s="67">
        <v>9126.3970493307625</v>
      </c>
      <c r="E6" s="63">
        <f>ROUND(D6*(1-0.5713),-3)</f>
        <v>4000</v>
      </c>
      <c r="F6" s="63" t="e">
        <f>ROUND(G5+(SUM(G23)),-3)</f>
        <v>#REF!</v>
      </c>
      <c r="G6" s="65" t="e">
        <f t="shared" si="0"/>
        <v>#REF!</v>
      </c>
    </row>
    <row r="7" spans="1:29" x14ac:dyDescent="0.2">
      <c r="A7" s="109">
        <v>44322</v>
      </c>
      <c r="B7" s="109">
        <v>44347</v>
      </c>
      <c r="C7" s="109" t="s">
        <v>88</v>
      </c>
      <c r="D7" s="67">
        <v>15619.726318755809</v>
      </c>
      <c r="E7" s="63">
        <f>ROUND(D7*(1-0.5618),-3)</f>
        <v>7000</v>
      </c>
      <c r="F7" s="63" t="e">
        <f>ROUND(G6+(SUM(G24:G25)),-3)</f>
        <v>#REF!</v>
      </c>
      <c r="G7" s="65" t="e">
        <f t="shared" si="0"/>
        <v>#REF!</v>
      </c>
    </row>
    <row r="8" spans="1:29" ht="15" x14ac:dyDescent="0.25">
      <c r="A8" s="109">
        <v>44348</v>
      </c>
      <c r="B8" s="109" t="s">
        <v>89</v>
      </c>
      <c r="C8" s="109" t="s">
        <v>90</v>
      </c>
      <c r="D8" s="67">
        <f>D3</f>
        <v>388633.5</v>
      </c>
      <c r="E8" s="64">
        <f>ROUND(380821/2,-3)</f>
        <v>190000</v>
      </c>
      <c r="F8" s="63" t="e">
        <f>ROUND(G7+(SUM(G26)),-3)</f>
        <v>#REF!</v>
      </c>
      <c r="G8" s="65" t="e">
        <f t="shared" si="0"/>
        <v>#REF!</v>
      </c>
      <c r="H8" s="20"/>
    </row>
    <row r="9" spans="1:29" ht="15" x14ac:dyDescent="0.25">
      <c r="A9" s="109">
        <v>44378</v>
      </c>
      <c r="B9" s="109">
        <v>44408</v>
      </c>
      <c r="C9" s="109" t="s">
        <v>91</v>
      </c>
      <c r="D9" s="67">
        <f>ROUND((B25*0.75)+(B26*0.15)+(B24*0.5),-3)</f>
        <v>7520000</v>
      </c>
      <c r="E9" s="64">
        <f>ROUND(D9*(1-$B$21),-3)</f>
        <v>2872000</v>
      </c>
      <c r="F9" s="63" t="e">
        <f>ROUND(G8+(SUM(G27)),-3)</f>
        <v>#REF!</v>
      </c>
      <c r="G9" s="65" t="e">
        <f t="shared" si="0"/>
        <v>#REF!</v>
      </c>
    </row>
    <row r="10" spans="1:29" ht="15" x14ac:dyDescent="0.25">
      <c r="A10" s="109">
        <v>44440</v>
      </c>
      <c r="B10" s="109" t="s">
        <v>92</v>
      </c>
      <c r="C10" s="109" t="s">
        <v>93</v>
      </c>
      <c r="D10" s="67">
        <f>B27-D5</f>
        <v>1779248.8</v>
      </c>
      <c r="E10" s="64">
        <f>ROUND(D10*(1-$B$21),-3)</f>
        <v>679000</v>
      </c>
      <c r="F10" s="63" t="e">
        <f>ROUND(G9+(SUM(G28:G29)),-3)</f>
        <v>#REF!</v>
      </c>
      <c r="G10" s="65" t="e">
        <f t="shared" si="0"/>
        <v>#REF!</v>
      </c>
    </row>
    <row r="11" spans="1:29" ht="15" x14ac:dyDescent="0.25">
      <c r="A11" s="110">
        <v>44501</v>
      </c>
      <c r="B11" s="110" t="s">
        <v>94</v>
      </c>
      <c r="C11" s="110" t="s">
        <v>95</v>
      </c>
      <c r="D11" s="66">
        <f>D8</f>
        <v>388633.5</v>
      </c>
      <c r="E11" s="111">
        <f>E8</f>
        <v>190000</v>
      </c>
      <c r="F11" s="63" t="e">
        <f>ROUND(G10+((G30+G19)),-3)</f>
        <v>#REF!</v>
      </c>
      <c r="G11" s="65" t="e">
        <f t="shared" si="0"/>
        <v>#REF!</v>
      </c>
    </row>
    <row r="12" spans="1:29" x14ac:dyDescent="0.2">
      <c r="A12" s="110">
        <v>44531</v>
      </c>
      <c r="B12" s="110">
        <v>44562</v>
      </c>
      <c r="C12" s="110" t="s">
        <v>96</v>
      </c>
      <c r="D12" s="66">
        <f>ROUND(B26*0.1,-3)</f>
        <v>608000</v>
      </c>
      <c r="E12" s="112">
        <f>ROUND(D12*(1-$B$22),-3)</f>
        <v>238000</v>
      </c>
      <c r="F12" s="63" t="e">
        <f>ROUND(G11+G20,-3)</f>
        <v>#REF!</v>
      </c>
      <c r="G12" s="65" t="e">
        <f t="shared" si="0"/>
        <v>#REF!</v>
      </c>
      <c r="X12" s="68"/>
      <c r="Y12" s="68"/>
      <c r="Z12" s="68"/>
      <c r="AA12" s="68"/>
      <c r="AB12" s="68"/>
      <c r="AC12" s="68"/>
    </row>
    <row r="13" spans="1:29" x14ac:dyDescent="0.2">
      <c r="A13" s="110">
        <v>44596</v>
      </c>
      <c r="B13" s="110">
        <v>44618</v>
      </c>
      <c r="C13" s="110" t="s">
        <v>97</v>
      </c>
      <c r="D13" s="66">
        <f>B27*0.3</f>
        <v>762535.2</v>
      </c>
      <c r="E13" s="112">
        <f>ROUND(D13*(1-$B$22),-3)</f>
        <v>299000</v>
      </c>
      <c r="F13" s="63" t="e">
        <f>ROUND(G12+SUM(#REF!),-3)</f>
        <v>#REF!</v>
      </c>
      <c r="G13" s="65" t="e">
        <f t="shared" si="0"/>
        <v>#REF!</v>
      </c>
      <c r="W13" s="68"/>
      <c r="X13" s="68"/>
      <c r="Y13" s="68"/>
      <c r="Z13" s="68"/>
      <c r="AA13" s="68"/>
      <c r="AB13" s="68"/>
    </row>
    <row r="14" spans="1:29" x14ac:dyDescent="0.2">
      <c r="A14" s="110">
        <v>44713</v>
      </c>
      <c r="B14" s="110" t="s">
        <v>98</v>
      </c>
      <c r="C14" s="110" t="s">
        <v>99</v>
      </c>
      <c r="D14" s="66">
        <f>D11</f>
        <v>388633.5</v>
      </c>
      <c r="E14" s="112">
        <f>E11</f>
        <v>190000</v>
      </c>
      <c r="F14" s="63" t="e">
        <f>ROUND(G13+SUM(G23:G26),-3)</f>
        <v>#REF!</v>
      </c>
      <c r="G14" s="65" t="e">
        <f t="shared" si="0"/>
        <v>#REF!</v>
      </c>
      <c r="W14" s="68"/>
      <c r="X14" s="68"/>
      <c r="Y14" s="68"/>
      <c r="Z14" s="68"/>
      <c r="AA14" s="68"/>
      <c r="AB14" s="68"/>
    </row>
    <row r="15" spans="1:29" x14ac:dyDescent="0.2">
      <c r="A15" s="110">
        <v>44743</v>
      </c>
      <c r="B15" s="110">
        <v>44773</v>
      </c>
      <c r="C15" s="110" t="s">
        <v>100</v>
      </c>
      <c r="D15" s="66">
        <f>B26*0.75</f>
        <v>4561401.1500000004</v>
      </c>
      <c r="E15" s="112">
        <f>ROUND(D15*(1-$B$22),-3)</f>
        <v>1788000</v>
      </c>
      <c r="F15" s="63" t="e">
        <f>ROUND(G14+SUM(#REF!),-3)</f>
        <v>#REF!</v>
      </c>
      <c r="G15" s="65" t="e">
        <f t="shared" si="0"/>
        <v>#REF!</v>
      </c>
      <c r="W15" s="68"/>
      <c r="X15" s="68"/>
      <c r="Y15" s="68"/>
      <c r="Z15" s="68"/>
      <c r="AA15" s="68"/>
      <c r="AB15" s="68"/>
    </row>
    <row r="16" spans="1:29" x14ac:dyDescent="0.2">
      <c r="A16" s="110">
        <v>44805</v>
      </c>
      <c r="B16" s="110" t="s">
        <v>101</v>
      </c>
      <c r="C16" s="110" t="s">
        <v>102</v>
      </c>
      <c r="D16" s="66">
        <f>B27-D13</f>
        <v>1779248.8</v>
      </c>
      <c r="E16" s="112">
        <f>ROUND(D16*(1-$B$22),-3)</f>
        <v>697000</v>
      </c>
      <c r="F16" s="63" t="e">
        <f>ROUND(G15+SUM(#REF!),-3)</f>
        <v>#REF!</v>
      </c>
      <c r="G16" s="65" t="e">
        <f t="shared" si="0"/>
        <v>#REF!</v>
      </c>
      <c r="W16" s="68"/>
      <c r="X16" s="68"/>
      <c r="Y16" s="68"/>
      <c r="Z16" s="68"/>
      <c r="AA16" s="68"/>
      <c r="AB16" s="68"/>
    </row>
    <row r="17" spans="1:8" ht="15.75" thickBot="1" x14ac:dyDescent="0.25">
      <c r="A17" s="69"/>
      <c r="B17" s="70"/>
      <c r="C17" s="71"/>
      <c r="D17" s="72"/>
      <c r="E17" s="72"/>
      <c r="F17" s="72"/>
      <c r="G17" s="73"/>
    </row>
    <row r="18" spans="1:8" x14ac:dyDescent="0.2">
      <c r="A18" s="74" t="s">
        <v>103</v>
      </c>
      <c r="B18" s="75" t="s">
        <v>104</v>
      </c>
      <c r="C18"/>
      <c r="D18"/>
      <c r="F18" s="114" t="s">
        <v>105</v>
      </c>
      <c r="G18" s="115"/>
      <c r="H18" s="76"/>
    </row>
    <row r="19" spans="1:8" x14ac:dyDescent="0.2">
      <c r="A19" s="77" t="s">
        <v>106</v>
      </c>
      <c r="B19" s="78">
        <v>0.6089</v>
      </c>
      <c r="C19"/>
      <c r="D19"/>
      <c r="F19" s="79">
        <v>44136</v>
      </c>
      <c r="G19" s="80" t="e">
        <f>#REF!</f>
        <v>#REF!</v>
      </c>
      <c r="H19" s="81"/>
    </row>
    <row r="20" spans="1:8" x14ac:dyDescent="0.2">
      <c r="A20" s="77" t="s">
        <v>107</v>
      </c>
      <c r="B20" s="78">
        <f>B19+0.062</f>
        <v>0.67090000000000005</v>
      </c>
      <c r="C20"/>
      <c r="D20"/>
      <c r="F20" s="79">
        <v>44166</v>
      </c>
      <c r="G20" s="80" t="e">
        <f>#REF!</f>
        <v>#REF!</v>
      </c>
    </row>
    <row r="21" spans="1:8" x14ac:dyDescent="0.2">
      <c r="A21" s="77" t="s">
        <v>108</v>
      </c>
      <c r="B21" s="78">
        <v>0.61809999999999998</v>
      </c>
      <c r="C21"/>
      <c r="D21"/>
      <c r="F21" s="79">
        <v>44197</v>
      </c>
      <c r="G21" s="80" t="e">
        <f>#REF!</f>
        <v>#REF!</v>
      </c>
    </row>
    <row r="22" spans="1:8" x14ac:dyDescent="0.2">
      <c r="A22" s="77" t="s">
        <v>109</v>
      </c>
      <c r="B22" s="78">
        <v>0.60799999999999998</v>
      </c>
      <c r="C22"/>
      <c r="F22" s="79">
        <v>43862</v>
      </c>
      <c r="G22" s="80" t="e">
        <f>#REF!</f>
        <v>#REF!</v>
      </c>
    </row>
    <row r="23" spans="1:8" x14ac:dyDescent="0.2">
      <c r="A23" s="77" t="s">
        <v>110</v>
      </c>
      <c r="B23" s="82">
        <v>270233.95551009971</v>
      </c>
      <c r="D23" s="83"/>
      <c r="E23" s="83"/>
      <c r="F23" s="79">
        <v>43891</v>
      </c>
      <c r="G23" s="80" t="e">
        <f>#REF!</f>
        <v>#REF!</v>
      </c>
    </row>
    <row r="24" spans="1:8" x14ac:dyDescent="0.2">
      <c r="A24" s="84" t="s">
        <v>111</v>
      </c>
      <c r="B24" s="85">
        <v>2547115</v>
      </c>
      <c r="C24" s="83"/>
      <c r="D24" s="86"/>
      <c r="F24" s="79">
        <v>44287</v>
      </c>
      <c r="G24" s="80" t="e">
        <f>#REF!</f>
        <v>#REF!</v>
      </c>
    </row>
    <row r="25" spans="1:8" x14ac:dyDescent="0.2">
      <c r="A25" s="87" t="s">
        <v>112</v>
      </c>
      <c r="B25" s="82">
        <v>7112541.4699999997</v>
      </c>
      <c r="C25" s="86"/>
      <c r="D25" s="86"/>
      <c r="F25" s="79">
        <v>44317</v>
      </c>
      <c r="G25" s="80" t="e">
        <f>#REF!</f>
        <v>#REF!</v>
      </c>
    </row>
    <row r="26" spans="1:8" x14ac:dyDescent="0.2">
      <c r="A26" s="87" t="s">
        <v>113</v>
      </c>
      <c r="B26" s="82">
        <v>6081868.2000000002</v>
      </c>
      <c r="C26" s="86"/>
      <c r="D26" s="88"/>
      <c r="F26" s="79">
        <v>44348</v>
      </c>
      <c r="G26" s="80" t="e">
        <f>#REF!</f>
        <v>#REF!</v>
      </c>
    </row>
    <row r="27" spans="1:8" ht="13.5" thickBot="1" x14ac:dyDescent="0.25">
      <c r="A27" s="89" t="s">
        <v>114</v>
      </c>
      <c r="B27" s="90">
        <v>2541784</v>
      </c>
      <c r="C27" s="91"/>
      <c r="D27" s="91"/>
      <c r="F27" s="79">
        <v>44378</v>
      </c>
      <c r="G27" s="80" t="e">
        <f>#REF!</f>
        <v>#REF!</v>
      </c>
    </row>
    <row r="28" spans="1:8" x14ac:dyDescent="0.2">
      <c r="B28"/>
      <c r="F28" s="79">
        <v>44409</v>
      </c>
      <c r="G28" s="80" t="e">
        <f>#REF!</f>
        <v>#REF!</v>
      </c>
    </row>
    <row r="29" spans="1:8" ht="15.75" thickBot="1" x14ac:dyDescent="0.3">
      <c r="A29" s="92" t="s">
        <v>115</v>
      </c>
      <c r="B29" s="93"/>
      <c r="C29" s="94"/>
      <c r="D29" s="95"/>
      <c r="F29" s="79">
        <v>44440</v>
      </c>
      <c r="G29" s="80" t="e">
        <f>#REF!</f>
        <v>#REF!</v>
      </c>
      <c r="H29" s="76"/>
    </row>
    <row r="30" spans="1:8" ht="15.75" customHeight="1" thickBot="1" x14ac:dyDescent="0.25">
      <c r="A30" s="116" t="s">
        <v>116</v>
      </c>
      <c r="B30" s="117"/>
      <c r="C30" s="118"/>
      <c r="D30" s="96"/>
      <c r="F30" s="97">
        <v>44470</v>
      </c>
      <c r="G30" s="98" t="e">
        <f>#REF!</f>
        <v>#REF!</v>
      </c>
      <c r="H30" s="99"/>
    </row>
    <row r="31" spans="1:8" ht="15.75" customHeight="1" thickBot="1" x14ac:dyDescent="0.25">
      <c r="A31" s="100" t="s">
        <v>117</v>
      </c>
      <c r="B31" s="101"/>
      <c r="C31" s="102"/>
      <c r="D31" s="103"/>
      <c r="E31" s="83"/>
      <c r="F31"/>
      <c r="G31"/>
      <c r="H31" s="76"/>
    </row>
    <row r="32" spans="1:8" ht="15.75" customHeight="1" thickBot="1" x14ac:dyDescent="0.25">
      <c r="A32" s="119" t="s">
        <v>118</v>
      </c>
      <c r="B32" s="120"/>
      <c r="C32" s="121"/>
      <c r="D32" s="104"/>
      <c r="E32" s="105"/>
      <c r="F32" s="106" t="s">
        <v>119</v>
      </c>
      <c r="G32" s="107" t="e">
        <f>SUM(G19:G30)</f>
        <v>#REF!</v>
      </c>
      <c r="H32" s="76"/>
    </row>
    <row r="33" spans="1:33" x14ac:dyDescent="0.2">
      <c r="A33" s="122" t="s">
        <v>120</v>
      </c>
      <c r="B33" s="123"/>
      <c r="C33" s="124"/>
      <c r="D33" s="96"/>
      <c r="E33" s="105"/>
      <c r="F33" s="83"/>
      <c r="G33" s="105"/>
    </row>
    <row r="34" spans="1:33" ht="27.75" customHeight="1" x14ac:dyDescent="0.2">
      <c r="A34" s="122" t="s">
        <v>121</v>
      </c>
      <c r="B34" s="123"/>
      <c r="C34" s="124"/>
      <c r="D34" s="96"/>
      <c r="E34" s="105"/>
      <c r="F34"/>
      <c r="G34"/>
    </row>
    <row r="35" spans="1:33" x14ac:dyDescent="0.2">
      <c r="A35" s="83"/>
      <c r="B35" s="108"/>
      <c r="C35"/>
      <c r="D35"/>
      <c r="E35"/>
      <c r="F35"/>
      <c r="G35"/>
    </row>
    <row r="36" spans="1:33" s="68" customFormat="1" x14ac:dyDescent="0.2">
      <c r="B36" s="83"/>
      <c r="C36" s="83"/>
      <c r="E36"/>
      <c r="F36"/>
      <c r="G36"/>
      <c r="H36"/>
      <c r="I36"/>
      <c r="J36"/>
      <c r="K36"/>
      <c r="L36"/>
      <c r="M36"/>
      <c r="N36"/>
      <c r="O36"/>
      <c r="P36"/>
      <c r="Q36"/>
      <c r="R36"/>
      <c r="S36"/>
      <c r="T36"/>
      <c r="U36"/>
      <c r="V36"/>
      <c r="W36"/>
    </row>
    <row r="37" spans="1:33" s="68" customFormat="1" x14ac:dyDescent="0.2">
      <c r="A37" s="83"/>
      <c r="C37" s="83"/>
      <c r="D37" s="83"/>
      <c r="E37"/>
      <c r="F37"/>
      <c r="G37"/>
      <c r="H37"/>
      <c r="I37"/>
      <c r="J37"/>
      <c r="K37"/>
      <c r="L37"/>
      <c r="M37"/>
      <c r="N37"/>
      <c r="O37"/>
      <c r="P37"/>
      <c r="Q37"/>
      <c r="R37"/>
      <c r="S37"/>
      <c r="T37"/>
      <c r="U37"/>
      <c r="V37"/>
      <c r="W37"/>
      <c r="X37"/>
      <c r="Y37"/>
      <c r="Z37"/>
      <c r="AA37"/>
      <c r="AB37"/>
      <c r="AC37"/>
      <c r="AD37"/>
      <c r="AE37"/>
      <c r="AF37"/>
      <c r="AG37"/>
    </row>
    <row r="38" spans="1:33" s="68" customFormat="1" x14ac:dyDescent="0.2">
      <c r="A38" s="76"/>
      <c r="B38"/>
      <c r="C38" s="76"/>
      <c r="D38" s="76"/>
      <c r="E38"/>
      <c r="F38"/>
      <c r="G38"/>
      <c r="H38"/>
      <c r="I38"/>
      <c r="J38"/>
      <c r="K38"/>
      <c r="L38"/>
      <c r="M38"/>
      <c r="N38"/>
      <c r="O38"/>
      <c r="P38"/>
      <c r="Q38"/>
      <c r="R38"/>
      <c r="S38"/>
      <c r="T38"/>
      <c r="U38"/>
      <c r="V38"/>
      <c r="W38"/>
      <c r="X38"/>
      <c r="Y38"/>
      <c r="Z38"/>
      <c r="AA38"/>
      <c r="AB38"/>
      <c r="AC38"/>
      <c r="AD38"/>
      <c r="AE38"/>
      <c r="AF38"/>
      <c r="AG38"/>
    </row>
    <row r="39" spans="1:33" x14ac:dyDescent="0.2">
      <c r="B39"/>
      <c r="E39"/>
      <c r="F39"/>
      <c r="G39"/>
    </row>
    <row r="40" spans="1:33" x14ac:dyDescent="0.2">
      <c r="B40"/>
      <c r="E40"/>
      <c r="F40"/>
      <c r="G40"/>
    </row>
    <row r="41" spans="1:33" x14ac:dyDescent="0.2">
      <c r="B41"/>
      <c r="E41"/>
      <c r="F41"/>
      <c r="G41"/>
    </row>
    <row r="42" spans="1:33" x14ac:dyDescent="0.2">
      <c r="B42"/>
      <c r="E42"/>
      <c r="F42"/>
      <c r="G42"/>
    </row>
    <row r="43" spans="1:33" ht="15" customHeight="1" x14ac:dyDescent="0.2">
      <c r="E43"/>
      <c r="F43"/>
      <c r="G43"/>
    </row>
    <row r="44" spans="1:33" ht="15" customHeight="1" x14ac:dyDescent="0.2">
      <c r="E44"/>
      <c r="F44"/>
      <c r="G44"/>
    </row>
    <row r="45" spans="1:33" x14ac:dyDescent="0.2">
      <c r="E45"/>
      <c r="F45"/>
      <c r="G45"/>
    </row>
    <row r="46" spans="1:33" ht="63" customHeight="1" x14ac:dyDescent="0.2">
      <c r="E46"/>
      <c r="F46"/>
      <c r="G46"/>
    </row>
    <row r="47" spans="1:33" x14ac:dyDescent="0.2">
      <c r="E47"/>
      <c r="F47"/>
      <c r="G47"/>
    </row>
    <row r="48" spans="1:33" x14ac:dyDescent="0.2">
      <c r="E48"/>
      <c r="F48"/>
      <c r="G48"/>
    </row>
    <row r="49" spans="5:7" x14ac:dyDescent="0.2">
      <c r="E49"/>
      <c r="F49"/>
      <c r="G49"/>
    </row>
    <row r="50" spans="5:7" x14ac:dyDescent="0.2">
      <c r="E50"/>
      <c r="G50"/>
    </row>
    <row r="51" spans="5:7" x14ac:dyDescent="0.2">
      <c r="G51"/>
    </row>
    <row r="52" spans="5:7" x14ac:dyDescent="0.2">
      <c r="G52"/>
    </row>
    <row r="53" spans="5:7" x14ac:dyDescent="0.2">
      <c r="G53"/>
    </row>
    <row r="54" spans="5:7" x14ac:dyDescent="0.2">
      <c r="G54"/>
    </row>
    <row r="55" spans="5:7" x14ac:dyDescent="0.2">
      <c r="G55"/>
    </row>
    <row r="56" spans="5:7" x14ac:dyDescent="0.2">
      <c r="G56"/>
    </row>
  </sheetData>
  <mergeCells count="5">
    <mergeCell ref="F18:G18"/>
    <mergeCell ref="A30:C30"/>
    <mergeCell ref="A32:C32"/>
    <mergeCell ref="A33:C33"/>
    <mergeCell ref="A34:C34"/>
  </mergeCells>
  <pageMargins left="0.7" right="0.7" top="0.75" bottom="0.75" header="0.3" footer="0.3"/>
  <pageSetup scale="7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M28"/>
  <sheetViews>
    <sheetView workbookViewId="0">
      <selection activeCell="A28" sqref="A28"/>
    </sheetView>
  </sheetViews>
  <sheetFormatPr defaultRowHeight="12.75" x14ac:dyDescent="0.2"/>
  <cols>
    <col min="1" max="1" width="19.140625" bestFit="1" customWidth="1"/>
    <col min="2" max="2" width="14" bestFit="1" customWidth="1"/>
    <col min="3" max="4" width="18" bestFit="1" customWidth="1"/>
    <col min="5" max="5" width="11.42578125" bestFit="1" customWidth="1"/>
    <col min="6" max="6" width="25" bestFit="1" customWidth="1"/>
    <col min="7" max="7" width="26.7109375" customWidth="1"/>
    <col min="8" max="8" width="11.28515625" bestFit="1" customWidth="1"/>
    <col min="9" max="9" width="12.28515625" bestFit="1" customWidth="1"/>
    <col min="10" max="11" width="11.28515625" bestFit="1" customWidth="1"/>
    <col min="12" max="12" width="9.42578125" bestFit="1" customWidth="1"/>
    <col min="13" max="13" width="11.42578125" bestFit="1" customWidth="1"/>
    <col min="14" max="14" width="9.28515625" bestFit="1" customWidth="1"/>
    <col min="15" max="16" width="11.28515625" bestFit="1" customWidth="1"/>
    <col min="17" max="19" width="9.28515625" bestFit="1" customWidth="1"/>
    <col min="20" max="20" width="11.28515625" bestFit="1" customWidth="1"/>
    <col min="21" max="22" width="9.28515625" bestFit="1" customWidth="1"/>
    <col min="23" max="23" width="11.28515625" bestFit="1" customWidth="1"/>
    <col min="24" max="24" width="9.28515625" bestFit="1" customWidth="1"/>
  </cols>
  <sheetData>
    <row r="6" spans="1:7" ht="25.5" x14ac:dyDescent="0.2">
      <c r="C6" s="1" t="s">
        <v>33</v>
      </c>
      <c r="D6" s="1" t="s">
        <v>34</v>
      </c>
      <c r="E6" s="1"/>
      <c r="F6" s="1" t="s">
        <v>63</v>
      </c>
      <c r="G6" s="28" t="s">
        <v>40</v>
      </c>
    </row>
    <row r="7" spans="1:7" x14ac:dyDescent="0.2">
      <c r="A7" s="21" t="s">
        <v>38</v>
      </c>
      <c r="C7" s="20">
        <v>2540099790</v>
      </c>
      <c r="D7" s="20">
        <v>2316380860</v>
      </c>
      <c r="F7" s="20">
        <f>+D7</f>
        <v>2316380860</v>
      </c>
      <c r="G7" s="20">
        <f>+D7</f>
        <v>2316380860</v>
      </c>
    </row>
    <row r="8" spans="1:7" x14ac:dyDescent="0.2">
      <c r="A8" s="21" t="s">
        <v>35</v>
      </c>
      <c r="C8" s="26">
        <v>0.1</v>
      </c>
      <c r="D8" s="26">
        <v>0.1</v>
      </c>
      <c r="F8" s="25">
        <v>0.10506799999999999</v>
      </c>
      <c r="G8" s="25">
        <v>0.33</v>
      </c>
    </row>
    <row r="10" spans="1:7" x14ac:dyDescent="0.2">
      <c r="A10" s="21" t="s">
        <v>36</v>
      </c>
      <c r="C10" s="10">
        <f>+(C7/100)*C8</f>
        <v>2540099.79</v>
      </c>
      <c r="D10" s="10">
        <f>+(D7/100)*D8</f>
        <v>2316380.8600000003</v>
      </c>
      <c r="F10" s="10">
        <f>+(F7/100)*F8</f>
        <v>2433775.0419848002</v>
      </c>
      <c r="G10" s="10">
        <f>+(G7/100)*G8</f>
        <v>7644056.8380000005</v>
      </c>
    </row>
    <row r="11" spans="1:7" x14ac:dyDescent="0.2">
      <c r="A11" s="21" t="s">
        <v>37</v>
      </c>
      <c r="C11" s="10">
        <f>+C10-D10</f>
        <v>223718.9299999997</v>
      </c>
      <c r="D11" s="20">
        <v>0</v>
      </c>
      <c r="F11" s="10">
        <f>+F10-D10</f>
        <v>117394.18198479991</v>
      </c>
      <c r="G11" s="10">
        <f>+G10-D10</f>
        <v>5327675.9780000001</v>
      </c>
    </row>
    <row r="12" spans="1:7" x14ac:dyDescent="0.2">
      <c r="C12" s="10"/>
      <c r="F12" s="10"/>
    </row>
    <row r="14" spans="1:7" x14ac:dyDescent="0.2">
      <c r="A14" s="21" t="s">
        <v>39</v>
      </c>
      <c r="C14" s="20">
        <v>0</v>
      </c>
    </row>
    <row r="17" spans="1:13" x14ac:dyDescent="0.2">
      <c r="C17" s="8">
        <v>0</v>
      </c>
      <c r="D17" s="27">
        <f>+F8-D8</f>
        <v>5.0679999999999892E-3</v>
      </c>
    </row>
    <row r="18" spans="1:13" x14ac:dyDescent="0.2">
      <c r="C18" s="10">
        <f>+C10</f>
        <v>2540099.79</v>
      </c>
      <c r="D18" s="27">
        <f>+D17/2</f>
        <v>2.5339999999999946E-3</v>
      </c>
    </row>
    <row r="19" spans="1:13" x14ac:dyDescent="0.2">
      <c r="C19" s="10">
        <f>+C18-C17</f>
        <v>2540099.79</v>
      </c>
    </row>
    <row r="24" spans="1:13" s="6" customFormat="1" x14ac:dyDescent="0.2">
      <c r="A24" s="16" t="s">
        <v>1</v>
      </c>
      <c r="B24" s="16" t="s">
        <v>2</v>
      </c>
      <c r="C24" s="16" t="s">
        <v>3</v>
      </c>
      <c r="D24" s="16" t="s">
        <v>4</v>
      </c>
      <c r="E24" s="16" t="s">
        <v>5</v>
      </c>
      <c r="F24" s="16" t="s">
        <v>6</v>
      </c>
      <c r="G24" s="16" t="s">
        <v>7</v>
      </c>
      <c r="H24" s="16" t="s">
        <v>8</v>
      </c>
      <c r="I24" s="16" t="s">
        <v>9</v>
      </c>
      <c r="J24" s="16" t="s">
        <v>10</v>
      </c>
      <c r="K24" s="16" t="s">
        <v>11</v>
      </c>
      <c r="L24" s="16" t="s">
        <v>12</v>
      </c>
    </row>
    <row r="25" spans="1:13" s="6" customFormat="1" x14ac:dyDescent="0.2">
      <c r="A25" s="30">
        <v>7555.92</v>
      </c>
      <c r="B25" s="30">
        <v>162341.28</v>
      </c>
      <c r="C25" s="30">
        <v>1737840.43</v>
      </c>
      <c r="D25" s="30">
        <v>369481.21</v>
      </c>
      <c r="E25" s="30">
        <v>224348.31</v>
      </c>
      <c r="F25" s="30">
        <v>50864.13</v>
      </c>
      <c r="G25" s="30">
        <v>39126.81</v>
      </c>
      <c r="H25" s="30">
        <v>4664.83</v>
      </c>
      <c r="I25" s="30">
        <v>19389.32</v>
      </c>
      <c r="J25" s="30">
        <v>17511.099999999999</v>
      </c>
      <c r="K25" s="51">
        <v>17287.13</v>
      </c>
      <c r="L25" s="51">
        <v>7746.08</v>
      </c>
      <c r="M25" s="7">
        <f>SUM(A25:L25)</f>
        <v>2658156.5499999998</v>
      </c>
    </row>
    <row r="26" spans="1:13" x14ac:dyDescent="0.2">
      <c r="A26" s="23">
        <f>+A25/$M$25</f>
        <v>2.842541384554646E-3</v>
      </c>
      <c r="B26" s="23">
        <f t="shared" ref="B26:L26" si="0">+B25/$M$25</f>
        <v>6.1072881505041532E-2</v>
      </c>
      <c r="C26" s="23">
        <f t="shared" si="0"/>
        <v>0.65377655428157533</v>
      </c>
      <c r="D26" s="23">
        <f t="shared" si="0"/>
        <v>0.13899904051926515</v>
      </c>
      <c r="E26" s="23">
        <f t="shared" si="0"/>
        <v>8.4399961319057762E-2</v>
      </c>
      <c r="F26" s="23">
        <f t="shared" si="0"/>
        <v>1.9135114521377606E-2</v>
      </c>
      <c r="G26" s="23">
        <f t="shared" si="0"/>
        <v>1.4719528087990152E-2</v>
      </c>
      <c r="H26" s="23">
        <f t="shared" si="0"/>
        <v>1.7549116887039631E-3</v>
      </c>
      <c r="I26" s="23">
        <f t="shared" si="0"/>
        <v>7.2942731683730217E-3</v>
      </c>
      <c r="J26" s="23">
        <f t="shared" si="0"/>
        <v>6.5876857403300796E-3</v>
      </c>
      <c r="K26" s="23">
        <f t="shared" si="0"/>
        <v>6.5034280994473413E-3</v>
      </c>
      <c r="L26" s="23">
        <f t="shared" si="0"/>
        <v>2.9140796842834558E-3</v>
      </c>
    </row>
    <row r="28" spans="1:13" x14ac:dyDescent="0.2">
      <c r="A28" s="8">
        <f>+A26*$M$28</f>
        <v>6584.408456940283</v>
      </c>
      <c r="B28" s="8">
        <f t="shared" ref="B28:K28" si="1">+B26*$M$28</f>
        <v>141468.05378332621</v>
      </c>
      <c r="C28" s="8">
        <f t="shared" si="1"/>
        <v>1514395.4970545925</v>
      </c>
      <c r="D28" s="8">
        <f t="shared" si="1"/>
        <v>321974.7170171903</v>
      </c>
      <c r="E28" s="8">
        <f t="shared" si="1"/>
        <v>195502.45498420577</v>
      </c>
      <c r="F28" s="8">
        <f t="shared" si="1"/>
        <v>44324.213031227155</v>
      </c>
      <c r="G28" s="8">
        <f t="shared" si="1"/>
        <v>34096.033131252792</v>
      </c>
      <c r="H28" s="8">
        <f t="shared" si="1"/>
        <v>4065.043846704139</v>
      </c>
      <c r="I28" s="8">
        <f t="shared" si="1"/>
        <v>16896.314754830826</v>
      </c>
      <c r="J28" s="8">
        <f t="shared" si="1"/>
        <v>15259.589160595529</v>
      </c>
      <c r="K28" s="8">
        <f t="shared" si="1"/>
        <v>15064.416373946</v>
      </c>
      <c r="L28" s="8">
        <f>+L26*$M$28</f>
        <v>6750.1184051890405</v>
      </c>
      <c r="M28" s="10">
        <f>+D10</f>
        <v>2316380.8600000003</v>
      </c>
    </row>
  </sheetData>
  <pageMargins left="0.7" right="0.7" top="0.75" bottom="0.75" header="0.3" footer="0.3"/>
  <pageSetup scale="4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F17"/>
  <sheetViews>
    <sheetView workbookViewId="0">
      <selection activeCell="F6" sqref="F6:F17"/>
    </sheetView>
  </sheetViews>
  <sheetFormatPr defaultRowHeight="12.75" x14ac:dyDescent="0.2"/>
  <cols>
    <col min="5" max="5" width="21" bestFit="1" customWidth="1"/>
    <col min="6" max="6" width="15.5703125" bestFit="1" customWidth="1"/>
    <col min="261" max="261" width="19.140625" bestFit="1" customWidth="1"/>
    <col min="262" max="262" width="15.5703125" bestFit="1" customWidth="1"/>
    <col min="517" max="517" width="19.140625" bestFit="1" customWidth="1"/>
    <col min="518" max="518" width="15.5703125" bestFit="1" customWidth="1"/>
    <col min="773" max="773" width="19.140625" bestFit="1" customWidth="1"/>
    <col min="774" max="774" width="15.5703125" bestFit="1" customWidth="1"/>
    <col min="1029" max="1029" width="19.140625" bestFit="1" customWidth="1"/>
    <col min="1030" max="1030" width="15.5703125" bestFit="1" customWidth="1"/>
    <col min="1285" max="1285" width="19.140625" bestFit="1" customWidth="1"/>
    <col min="1286" max="1286" width="15.5703125" bestFit="1" customWidth="1"/>
    <col min="1541" max="1541" width="19.140625" bestFit="1" customWidth="1"/>
    <col min="1542" max="1542" width="15.5703125" bestFit="1" customWidth="1"/>
    <col min="1797" max="1797" width="19.140625" bestFit="1" customWidth="1"/>
    <col min="1798" max="1798" width="15.5703125" bestFit="1" customWidth="1"/>
    <col min="2053" max="2053" width="19.140625" bestFit="1" customWidth="1"/>
    <col min="2054" max="2054" width="15.5703125" bestFit="1" customWidth="1"/>
    <col min="2309" max="2309" width="19.140625" bestFit="1" customWidth="1"/>
    <col min="2310" max="2310" width="15.5703125" bestFit="1" customWidth="1"/>
    <col min="2565" max="2565" width="19.140625" bestFit="1" customWidth="1"/>
    <col min="2566" max="2566" width="15.5703125" bestFit="1" customWidth="1"/>
    <col min="2821" max="2821" width="19.140625" bestFit="1" customWidth="1"/>
    <col min="2822" max="2822" width="15.5703125" bestFit="1" customWidth="1"/>
    <col min="3077" max="3077" width="19.140625" bestFit="1" customWidth="1"/>
    <col min="3078" max="3078" width="15.5703125" bestFit="1" customWidth="1"/>
    <col min="3333" max="3333" width="19.140625" bestFit="1" customWidth="1"/>
    <col min="3334" max="3334" width="15.5703125" bestFit="1" customWidth="1"/>
    <col min="3589" max="3589" width="19.140625" bestFit="1" customWidth="1"/>
    <col min="3590" max="3590" width="15.5703125" bestFit="1" customWidth="1"/>
    <col min="3845" max="3845" width="19.140625" bestFit="1" customWidth="1"/>
    <col min="3846" max="3846" width="15.5703125" bestFit="1" customWidth="1"/>
    <col min="4101" max="4101" width="19.140625" bestFit="1" customWidth="1"/>
    <col min="4102" max="4102" width="15.5703125" bestFit="1" customWidth="1"/>
    <col min="4357" max="4357" width="19.140625" bestFit="1" customWidth="1"/>
    <col min="4358" max="4358" width="15.5703125" bestFit="1" customWidth="1"/>
    <col min="4613" max="4613" width="19.140625" bestFit="1" customWidth="1"/>
    <col min="4614" max="4614" width="15.5703125" bestFit="1" customWidth="1"/>
    <col min="4869" max="4869" width="19.140625" bestFit="1" customWidth="1"/>
    <col min="4870" max="4870" width="15.5703125" bestFit="1" customWidth="1"/>
    <col min="5125" max="5125" width="19.140625" bestFit="1" customWidth="1"/>
    <col min="5126" max="5126" width="15.5703125" bestFit="1" customWidth="1"/>
    <col min="5381" max="5381" width="19.140625" bestFit="1" customWidth="1"/>
    <col min="5382" max="5382" width="15.5703125" bestFit="1" customWidth="1"/>
    <col min="5637" max="5637" width="19.140625" bestFit="1" customWidth="1"/>
    <col min="5638" max="5638" width="15.5703125" bestFit="1" customWidth="1"/>
    <col min="5893" max="5893" width="19.140625" bestFit="1" customWidth="1"/>
    <col min="5894" max="5894" width="15.5703125" bestFit="1" customWidth="1"/>
    <col min="6149" max="6149" width="19.140625" bestFit="1" customWidth="1"/>
    <col min="6150" max="6150" width="15.5703125" bestFit="1" customWidth="1"/>
    <col min="6405" max="6405" width="19.140625" bestFit="1" customWidth="1"/>
    <col min="6406" max="6406" width="15.5703125" bestFit="1" customWidth="1"/>
    <col min="6661" max="6661" width="19.140625" bestFit="1" customWidth="1"/>
    <col min="6662" max="6662" width="15.5703125" bestFit="1" customWidth="1"/>
    <col min="6917" max="6917" width="19.140625" bestFit="1" customWidth="1"/>
    <col min="6918" max="6918" width="15.5703125" bestFit="1" customWidth="1"/>
    <col min="7173" max="7173" width="19.140625" bestFit="1" customWidth="1"/>
    <col min="7174" max="7174" width="15.5703125" bestFit="1" customWidth="1"/>
    <col min="7429" max="7429" width="19.140625" bestFit="1" customWidth="1"/>
    <col min="7430" max="7430" width="15.5703125" bestFit="1" customWidth="1"/>
    <col min="7685" max="7685" width="19.140625" bestFit="1" customWidth="1"/>
    <col min="7686" max="7686" width="15.5703125" bestFit="1" customWidth="1"/>
    <col min="7941" max="7941" width="19.140625" bestFit="1" customWidth="1"/>
    <col min="7942" max="7942" width="15.5703125" bestFit="1" customWidth="1"/>
    <col min="8197" max="8197" width="19.140625" bestFit="1" customWidth="1"/>
    <col min="8198" max="8198" width="15.5703125" bestFit="1" customWidth="1"/>
    <col min="8453" max="8453" width="19.140625" bestFit="1" customWidth="1"/>
    <col min="8454" max="8454" width="15.5703125" bestFit="1" customWidth="1"/>
    <col min="8709" max="8709" width="19.140625" bestFit="1" customWidth="1"/>
    <col min="8710" max="8710" width="15.5703125" bestFit="1" customWidth="1"/>
    <col min="8965" max="8965" width="19.140625" bestFit="1" customWidth="1"/>
    <col min="8966" max="8966" width="15.5703125" bestFit="1" customWidth="1"/>
    <col min="9221" max="9221" width="19.140625" bestFit="1" customWidth="1"/>
    <col min="9222" max="9222" width="15.5703125" bestFit="1" customWidth="1"/>
    <col min="9477" max="9477" width="19.140625" bestFit="1" customWidth="1"/>
    <col min="9478" max="9478" width="15.5703125" bestFit="1" customWidth="1"/>
    <col min="9733" max="9733" width="19.140625" bestFit="1" customWidth="1"/>
    <col min="9734" max="9734" width="15.5703125" bestFit="1" customWidth="1"/>
    <col min="9989" max="9989" width="19.140625" bestFit="1" customWidth="1"/>
    <col min="9990" max="9990" width="15.5703125" bestFit="1" customWidth="1"/>
    <col min="10245" max="10245" width="19.140625" bestFit="1" customWidth="1"/>
    <col min="10246" max="10246" width="15.5703125" bestFit="1" customWidth="1"/>
    <col min="10501" max="10501" width="19.140625" bestFit="1" customWidth="1"/>
    <col min="10502" max="10502" width="15.5703125" bestFit="1" customWidth="1"/>
    <col min="10757" max="10757" width="19.140625" bestFit="1" customWidth="1"/>
    <col min="10758" max="10758" width="15.5703125" bestFit="1" customWidth="1"/>
    <col min="11013" max="11013" width="19.140625" bestFit="1" customWidth="1"/>
    <col min="11014" max="11014" width="15.5703125" bestFit="1" customWidth="1"/>
    <col min="11269" max="11269" width="19.140625" bestFit="1" customWidth="1"/>
    <col min="11270" max="11270" width="15.5703125" bestFit="1" customWidth="1"/>
    <col min="11525" max="11525" width="19.140625" bestFit="1" customWidth="1"/>
    <col min="11526" max="11526" width="15.5703125" bestFit="1" customWidth="1"/>
    <col min="11781" max="11781" width="19.140625" bestFit="1" customWidth="1"/>
    <col min="11782" max="11782" width="15.5703125" bestFit="1" customWidth="1"/>
    <col min="12037" max="12037" width="19.140625" bestFit="1" customWidth="1"/>
    <col min="12038" max="12038" width="15.5703125" bestFit="1" customWidth="1"/>
    <col min="12293" max="12293" width="19.140625" bestFit="1" customWidth="1"/>
    <col min="12294" max="12294" width="15.5703125" bestFit="1" customWidth="1"/>
    <col min="12549" max="12549" width="19.140625" bestFit="1" customWidth="1"/>
    <col min="12550" max="12550" width="15.5703125" bestFit="1" customWidth="1"/>
    <col min="12805" max="12805" width="19.140625" bestFit="1" customWidth="1"/>
    <col min="12806" max="12806" width="15.5703125" bestFit="1" customWidth="1"/>
    <col min="13061" max="13061" width="19.140625" bestFit="1" customWidth="1"/>
    <col min="13062" max="13062" width="15.5703125" bestFit="1" customWidth="1"/>
    <col min="13317" max="13317" width="19.140625" bestFit="1" customWidth="1"/>
    <col min="13318" max="13318" width="15.5703125" bestFit="1" customWidth="1"/>
    <col min="13573" max="13573" width="19.140625" bestFit="1" customWidth="1"/>
    <col min="13574" max="13574" width="15.5703125" bestFit="1" customWidth="1"/>
    <col min="13829" max="13829" width="19.140625" bestFit="1" customWidth="1"/>
    <col min="13830" max="13830" width="15.5703125" bestFit="1" customWidth="1"/>
    <col min="14085" max="14085" width="19.140625" bestFit="1" customWidth="1"/>
    <col min="14086" max="14086" width="15.5703125" bestFit="1" customWidth="1"/>
    <col min="14341" max="14341" width="19.140625" bestFit="1" customWidth="1"/>
    <col min="14342" max="14342" width="15.5703125" bestFit="1" customWidth="1"/>
    <col min="14597" max="14597" width="19.140625" bestFit="1" customWidth="1"/>
    <col min="14598" max="14598" width="15.5703125" bestFit="1" customWidth="1"/>
    <col min="14853" max="14853" width="19.140625" bestFit="1" customWidth="1"/>
    <col min="14854" max="14854" width="15.5703125" bestFit="1" customWidth="1"/>
    <col min="15109" max="15109" width="19.140625" bestFit="1" customWidth="1"/>
    <col min="15110" max="15110" width="15.5703125" bestFit="1" customWidth="1"/>
    <col min="15365" max="15365" width="19.140625" bestFit="1" customWidth="1"/>
    <col min="15366" max="15366" width="15.5703125" bestFit="1" customWidth="1"/>
    <col min="15621" max="15621" width="19.140625" bestFit="1" customWidth="1"/>
    <col min="15622" max="15622" width="15.5703125" bestFit="1" customWidth="1"/>
    <col min="15877" max="15877" width="19.140625" bestFit="1" customWidth="1"/>
    <col min="15878" max="15878" width="15.5703125" bestFit="1" customWidth="1"/>
    <col min="16133" max="16133" width="19.140625" bestFit="1" customWidth="1"/>
    <col min="16134" max="16134" width="15.5703125" bestFit="1" customWidth="1"/>
  </cols>
  <sheetData>
    <row r="3" spans="1:6" x14ac:dyDescent="0.2">
      <c r="B3" s="1" t="s">
        <v>65</v>
      </c>
      <c r="C3" s="1" t="s">
        <v>66</v>
      </c>
      <c r="D3" s="1" t="s">
        <v>67</v>
      </c>
      <c r="E3" s="1" t="s">
        <v>68</v>
      </c>
      <c r="F3" s="1" t="s">
        <v>69</v>
      </c>
    </row>
    <row r="4" spans="1:6" x14ac:dyDescent="0.2">
      <c r="A4" s="9">
        <v>44774</v>
      </c>
      <c r="B4" s="55">
        <v>13455</v>
      </c>
      <c r="C4" s="55">
        <v>12616</v>
      </c>
      <c r="D4" s="55">
        <v>14565</v>
      </c>
      <c r="E4" s="56">
        <f>SUM(B4:D4)</f>
        <v>40636</v>
      </c>
      <c r="F4" s="20">
        <f>+E4</f>
        <v>40636</v>
      </c>
    </row>
    <row r="5" spans="1:6" ht="13.5" thickBot="1" x14ac:dyDescent="0.25">
      <c r="A5" s="9">
        <v>44805</v>
      </c>
      <c r="B5" s="113">
        <v>38683</v>
      </c>
      <c r="C5" s="113">
        <v>36272</v>
      </c>
      <c r="D5" s="113">
        <v>41874</v>
      </c>
      <c r="E5" s="56">
        <f t="shared" ref="E5" si="0">SUM(B5:D5)</f>
        <v>116829</v>
      </c>
      <c r="F5" s="20">
        <f>+E5-F4</f>
        <v>76193</v>
      </c>
    </row>
    <row r="6" spans="1:6" x14ac:dyDescent="0.2">
      <c r="A6" s="9">
        <v>44835</v>
      </c>
      <c r="B6" s="13">
        <v>64751</v>
      </c>
      <c r="C6" s="13">
        <v>60717</v>
      </c>
      <c r="D6" s="13">
        <v>70094</v>
      </c>
      <c r="E6" s="56">
        <f>SUM(B6:D6)</f>
        <v>195562</v>
      </c>
      <c r="F6" s="57">
        <f>+E6-F5-F4</f>
        <v>78733</v>
      </c>
    </row>
    <row r="7" spans="1:6" x14ac:dyDescent="0.2">
      <c r="A7" s="9">
        <v>44866</v>
      </c>
      <c r="B7" s="13">
        <v>89979</v>
      </c>
      <c r="C7" s="13">
        <v>84372</v>
      </c>
      <c r="D7" s="13">
        <v>97403</v>
      </c>
      <c r="E7" s="56">
        <f t="shared" ref="E7:E17" si="1">SUM(B7:D7)</f>
        <v>271754</v>
      </c>
      <c r="F7" s="58">
        <f>+E7-F6-F5-F4</f>
        <v>76192</v>
      </c>
    </row>
    <row r="8" spans="1:6" x14ac:dyDescent="0.2">
      <c r="A8" s="9">
        <v>44896</v>
      </c>
      <c r="B8" s="13">
        <v>116048</v>
      </c>
      <c r="C8" s="13">
        <v>108817</v>
      </c>
      <c r="D8" s="13">
        <v>125623</v>
      </c>
      <c r="E8" s="56">
        <f t="shared" si="1"/>
        <v>350488</v>
      </c>
      <c r="F8" s="58">
        <f>+E8-F7-F6-F5-F4</f>
        <v>78734</v>
      </c>
    </row>
    <row r="9" spans="1:6" x14ac:dyDescent="0.2">
      <c r="A9" s="9">
        <v>44927</v>
      </c>
      <c r="B9" s="13">
        <v>142116</v>
      </c>
      <c r="C9" s="13">
        <v>133261</v>
      </c>
      <c r="D9" s="13">
        <v>153842</v>
      </c>
      <c r="E9" s="56">
        <f t="shared" si="1"/>
        <v>429219</v>
      </c>
      <c r="F9" s="58">
        <f>+E9-F8-F7-F6-F5-F4</f>
        <v>78731</v>
      </c>
    </row>
    <row r="10" spans="1:6" x14ac:dyDescent="0.2">
      <c r="A10" s="9">
        <v>44958</v>
      </c>
      <c r="B10" s="13">
        <v>10932</v>
      </c>
      <c r="C10" s="13">
        <v>10251</v>
      </c>
      <c r="D10" s="13">
        <v>11834</v>
      </c>
      <c r="E10" s="56">
        <f t="shared" si="1"/>
        <v>33017</v>
      </c>
      <c r="F10" s="58">
        <f>+E10</f>
        <v>33017</v>
      </c>
    </row>
    <row r="11" spans="1:6" x14ac:dyDescent="0.2">
      <c r="A11" s="9">
        <v>44986</v>
      </c>
      <c r="B11" s="13">
        <v>37001</v>
      </c>
      <c r="C11" s="13">
        <v>34695</v>
      </c>
      <c r="D11" s="13">
        <v>40054</v>
      </c>
      <c r="E11" s="56">
        <f t="shared" si="1"/>
        <v>111750</v>
      </c>
      <c r="F11" s="58">
        <f>+E11-F10</f>
        <v>78733</v>
      </c>
    </row>
    <row r="12" spans="1:6" x14ac:dyDescent="0.2">
      <c r="A12" s="9">
        <v>45017</v>
      </c>
      <c r="B12" s="13">
        <v>62228</v>
      </c>
      <c r="C12" s="13">
        <v>58351</v>
      </c>
      <c r="D12" s="13">
        <v>67363</v>
      </c>
      <c r="E12" s="56">
        <f t="shared" si="1"/>
        <v>187942</v>
      </c>
      <c r="F12" s="58">
        <f>+E12-F11-F10</f>
        <v>76192</v>
      </c>
    </row>
    <row r="13" spans="1:6" x14ac:dyDescent="0.2">
      <c r="A13" s="9">
        <v>45047</v>
      </c>
      <c r="B13" s="13">
        <v>88297</v>
      </c>
      <c r="C13" s="13">
        <v>82795</v>
      </c>
      <c r="D13" s="13">
        <v>95582</v>
      </c>
      <c r="E13" s="13">
        <f t="shared" si="1"/>
        <v>266674</v>
      </c>
      <c r="F13" s="58">
        <f>+E13-F12-F11-F10</f>
        <v>78732</v>
      </c>
    </row>
    <row r="14" spans="1:6" x14ac:dyDescent="0.2">
      <c r="A14" s="9">
        <v>45078</v>
      </c>
      <c r="B14" s="13">
        <v>113525</v>
      </c>
      <c r="C14" s="13">
        <v>106451</v>
      </c>
      <c r="D14" s="13">
        <v>122892</v>
      </c>
      <c r="E14" s="56">
        <f t="shared" si="1"/>
        <v>342868</v>
      </c>
      <c r="F14" s="58">
        <f>+E14-F13-F12-F11-F10</f>
        <v>76194</v>
      </c>
    </row>
    <row r="15" spans="1:6" x14ac:dyDescent="0.2">
      <c r="A15" s="9">
        <v>45108</v>
      </c>
      <c r="B15" s="13">
        <v>139593</v>
      </c>
      <c r="C15" s="13">
        <v>130896</v>
      </c>
      <c r="D15" s="13">
        <v>151111</v>
      </c>
      <c r="E15" s="56">
        <f t="shared" si="1"/>
        <v>421600</v>
      </c>
      <c r="F15" s="58">
        <f>+E15-F14-F13-F12-F11-F10</f>
        <v>78732</v>
      </c>
    </row>
    <row r="16" spans="1:6" x14ac:dyDescent="0.2">
      <c r="A16" s="9">
        <v>45139</v>
      </c>
      <c r="B16" s="13">
        <v>13167</v>
      </c>
      <c r="C16" s="13">
        <v>12345</v>
      </c>
      <c r="D16" s="13">
        <v>13649</v>
      </c>
      <c r="E16" s="56">
        <f t="shared" si="1"/>
        <v>39161</v>
      </c>
      <c r="F16" s="58">
        <f>+E16</f>
        <v>39161</v>
      </c>
    </row>
    <row r="17" spans="1:6" ht="13.5" thickBot="1" x14ac:dyDescent="0.25">
      <c r="A17" s="9">
        <v>45170</v>
      </c>
      <c r="B17" s="13">
        <v>37855</v>
      </c>
      <c r="C17" s="13">
        <v>35492</v>
      </c>
      <c r="D17" s="13">
        <v>39240</v>
      </c>
      <c r="E17" s="56">
        <f t="shared" si="1"/>
        <v>112587</v>
      </c>
      <c r="F17" s="59">
        <f>+E17-F16</f>
        <v>73426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1"/>
  <sheetViews>
    <sheetView workbookViewId="0">
      <selection activeCell="A3" sqref="A3"/>
    </sheetView>
  </sheetViews>
  <sheetFormatPr defaultRowHeight="12.75" x14ac:dyDescent="0.2"/>
  <cols>
    <col min="1" max="1" width="20.7109375" customWidth="1"/>
    <col min="2" max="2" width="12.7109375" customWidth="1"/>
    <col min="3" max="3" width="13.7109375" customWidth="1"/>
    <col min="4" max="9" width="12.7109375" customWidth="1"/>
    <col min="257" max="257" width="20.7109375" customWidth="1"/>
    <col min="258" max="258" width="12.7109375" customWidth="1"/>
    <col min="259" max="259" width="13.7109375" customWidth="1"/>
    <col min="260" max="265" width="12.7109375" customWidth="1"/>
    <col min="513" max="513" width="20.7109375" customWidth="1"/>
    <col min="514" max="514" width="12.7109375" customWidth="1"/>
    <col min="515" max="515" width="13.7109375" customWidth="1"/>
    <col min="516" max="521" width="12.7109375" customWidth="1"/>
    <col min="769" max="769" width="20.7109375" customWidth="1"/>
    <col min="770" max="770" width="12.7109375" customWidth="1"/>
    <col min="771" max="771" width="13.7109375" customWidth="1"/>
    <col min="772" max="777" width="12.7109375" customWidth="1"/>
    <col min="1025" max="1025" width="20.7109375" customWidth="1"/>
    <col min="1026" max="1026" width="12.7109375" customWidth="1"/>
    <col min="1027" max="1027" width="13.7109375" customWidth="1"/>
    <col min="1028" max="1033" width="12.7109375" customWidth="1"/>
    <col min="1281" max="1281" width="20.7109375" customWidth="1"/>
    <col min="1282" max="1282" width="12.7109375" customWidth="1"/>
    <col min="1283" max="1283" width="13.7109375" customWidth="1"/>
    <col min="1284" max="1289" width="12.7109375" customWidth="1"/>
    <col min="1537" max="1537" width="20.7109375" customWidth="1"/>
    <col min="1538" max="1538" width="12.7109375" customWidth="1"/>
    <col min="1539" max="1539" width="13.7109375" customWidth="1"/>
    <col min="1540" max="1545" width="12.7109375" customWidth="1"/>
    <col min="1793" max="1793" width="20.7109375" customWidth="1"/>
    <col min="1794" max="1794" width="12.7109375" customWidth="1"/>
    <col min="1795" max="1795" width="13.7109375" customWidth="1"/>
    <col min="1796" max="1801" width="12.7109375" customWidth="1"/>
    <col min="2049" max="2049" width="20.7109375" customWidth="1"/>
    <col min="2050" max="2050" width="12.7109375" customWidth="1"/>
    <col min="2051" max="2051" width="13.7109375" customWidth="1"/>
    <col min="2052" max="2057" width="12.7109375" customWidth="1"/>
    <col min="2305" max="2305" width="20.7109375" customWidth="1"/>
    <col min="2306" max="2306" width="12.7109375" customWidth="1"/>
    <col min="2307" max="2307" width="13.7109375" customWidth="1"/>
    <col min="2308" max="2313" width="12.7109375" customWidth="1"/>
    <col min="2561" max="2561" width="20.7109375" customWidth="1"/>
    <col min="2562" max="2562" width="12.7109375" customWidth="1"/>
    <col min="2563" max="2563" width="13.7109375" customWidth="1"/>
    <col min="2564" max="2569" width="12.7109375" customWidth="1"/>
    <col min="2817" max="2817" width="20.7109375" customWidth="1"/>
    <col min="2818" max="2818" width="12.7109375" customWidth="1"/>
    <col min="2819" max="2819" width="13.7109375" customWidth="1"/>
    <col min="2820" max="2825" width="12.7109375" customWidth="1"/>
    <col min="3073" max="3073" width="20.7109375" customWidth="1"/>
    <col min="3074" max="3074" width="12.7109375" customWidth="1"/>
    <col min="3075" max="3075" width="13.7109375" customWidth="1"/>
    <col min="3076" max="3081" width="12.7109375" customWidth="1"/>
    <col min="3329" max="3329" width="20.7109375" customWidth="1"/>
    <col min="3330" max="3330" width="12.7109375" customWidth="1"/>
    <col min="3331" max="3331" width="13.7109375" customWidth="1"/>
    <col min="3332" max="3337" width="12.7109375" customWidth="1"/>
    <col min="3585" max="3585" width="20.7109375" customWidth="1"/>
    <col min="3586" max="3586" width="12.7109375" customWidth="1"/>
    <col min="3587" max="3587" width="13.7109375" customWidth="1"/>
    <col min="3588" max="3593" width="12.7109375" customWidth="1"/>
    <col min="3841" max="3841" width="20.7109375" customWidth="1"/>
    <col min="3842" max="3842" width="12.7109375" customWidth="1"/>
    <col min="3843" max="3843" width="13.7109375" customWidth="1"/>
    <col min="3844" max="3849" width="12.7109375" customWidth="1"/>
    <col min="4097" max="4097" width="20.7109375" customWidth="1"/>
    <col min="4098" max="4098" width="12.7109375" customWidth="1"/>
    <col min="4099" max="4099" width="13.7109375" customWidth="1"/>
    <col min="4100" max="4105" width="12.7109375" customWidth="1"/>
    <col min="4353" max="4353" width="20.7109375" customWidth="1"/>
    <col min="4354" max="4354" width="12.7109375" customWidth="1"/>
    <col min="4355" max="4355" width="13.7109375" customWidth="1"/>
    <col min="4356" max="4361" width="12.7109375" customWidth="1"/>
    <col min="4609" max="4609" width="20.7109375" customWidth="1"/>
    <col min="4610" max="4610" width="12.7109375" customWidth="1"/>
    <col min="4611" max="4611" width="13.7109375" customWidth="1"/>
    <col min="4612" max="4617" width="12.7109375" customWidth="1"/>
    <col min="4865" max="4865" width="20.7109375" customWidth="1"/>
    <col min="4866" max="4866" width="12.7109375" customWidth="1"/>
    <col min="4867" max="4867" width="13.7109375" customWidth="1"/>
    <col min="4868" max="4873" width="12.7109375" customWidth="1"/>
    <col min="5121" max="5121" width="20.7109375" customWidth="1"/>
    <col min="5122" max="5122" width="12.7109375" customWidth="1"/>
    <col min="5123" max="5123" width="13.7109375" customWidth="1"/>
    <col min="5124" max="5129" width="12.7109375" customWidth="1"/>
    <col min="5377" max="5377" width="20.7109375" customWidth="1"/>
    <col min="5378" max="5378" width="12.7109375" customWidth="1"/>
    <col min="5379" max="5379" width="13.7109375" customWidth="1"/>
    <col min="5380" max="5385" width="12.7109375" customWidth="1"/>
    <col min="5633" max="5633" width="20.7109375" customWidth="1"/>
    <col min="5634" max="5634" width="12.7109375" customWidth="1"/>
    <col min="5635" max="5635" width="13.7109375" customWidth="1"/>
    <col min="5636" max="5641" width="12.7109375" customWidth="1"/>
    <col min="5889" max="5889" width="20.7109375" customWidth="1"/>
    <col min="5890" max="5890" width="12.7109375" customWidth="1"/>
    <col min="5891" max="5891" width="13.7109375" customWidth="1"/>
    <col min="5892" max="5897" width="12.7109375" customWidth="1"/>
    <col min="6145" max="6145" width="20.7109375" customWidth="1"/>
    <col min="6146" max="6146" width="12.7109375" customWidth="1"/>
    <col min="6147" max="6147" width="13.7109375" customWidth="1"/>
    <col min="6148" max="6153" width="12.7109375" customWidth="1"/>
    <col min="6401" max="6401" width="20.7109375" customWidth="1"/>
    <col min="6402" max="6402" width="12.7109375" customWidth="1"/>
    <col min="6403" max="6403" width="13.7109375" customWidth="1"/>
    <col min="6404" max="6409" width="12.7109375" customWidth="1"/>
    <col min="6657" max="6657" width="20.7109375" customWidth="1"/>
    <col min="6658" max="6658" width="12.7109375" customWidth="1"/>
    <col min="6659" max="6659" width="13.7109375" customWidth="1"/>
    <col min="6660" max="6665" width="12.7109375" customWidth="1"/>
    <col min="6913" max="6913" width="20.7109375" customWidth="1"/>
    <col min="6914" max="6914" width="12.7109375" customWidth="1"/>
    <col min="6915" max="6915" width="13.7109375" customWidth="1"/>
    <col min="6916" max="6921" width="12.7109375" customWidth="1"/>
    <col min="7169" max="7169" width="20.7109375" customWidth="1"/>
    <col min="7170" max="7170" width="12.7109375" customWidth="1"/>
    <col min="7171" max="7171" width="13.7109375" customWidth="1"/>
    <col min="7172" max="7177" width="12.7109375" customWidth="1"/>
    <col min="7425" max="7425" width="20.7109375" customWidth="1"/>
    <col min="7426" max="7426" width="12.7109375" customWidth="1"/>
    <col min="7427" max="7427" width="13.7109375" customWidth="1"/>
    <col min="7428" max="7433" width="12.7109375" customWidth="1"/>
    <col min="7681" max="7681" width="20.7109375" customWidth="1"/>
    <col min="7682" max="7682" width="12.7109375" customWidth="1"/>
    <col min="7683" max="7683" width="13.7109375" customWidth="1"/>
    <col min="7684" max="7689" width="12.7109375" customWidth="1"/>
    <col min="7937" max="7937" width="20.7109375" customWidth="1"/>
    <col min="7938" max="7938" width="12.7109375" customWidth="1"/>
    <col min="7939" max="7939" width="13.7109375" customWidth="1"/>
    <col min="7940" max="7945" width="12.7109375" customWidth="1"/>
    <col min="8193" max="8193" width="20.7109375" customWidth="1"/>
    <col min="8194" max="8194" width="12.7109375" customWidth="1"/>
    <col min="8195" max="8195" width="13.7109375" customWidth="1"/>
    <col min="8196" max="8201" width="12.7109375" customWidth="1"/>
    <col min="8449" max="8449" width="20.7109375" customWidth="1"/>
    <col min="8450" max="8450" width="12.7109375" customWidth="1"/>
    <col min="8451" max="8451" width="13.7109375" customWidth="1"/>
    <col min="8452" max="8457" width="12.7109375" customWidth="1"/>
    <col min="8705" max="8705" width="20.7109375" customWidth="1"/>
    <col min="8706" max="8706" width="12.7109375" customWidth="1"/>
    <col min="8707" max="8707" width="13.7109375" customWidth="1"/>
    <col min="8708" max="8713" width="12.7109375" customWidth="1"/>
    <col min="8961" max="8961" width="20.7109375" customWidth="1"/>
    <col min="8962" max="8962" width="12.7109375" customWidth="1"/>
    <col min="8963" max="8963" width="13.7109375" customWidth="1"/>
    <col min="8964" max="8969" width="12.7109375" customWidth="1"/>
    <col min="9217" max="9217" width="20.7109375" customWidth="1"/>
    <col min="9218" max="9218" width="12.7109375" customWidth="1"/>
    <col min="9219" max="9219" width="13.7109375" customWidth="1"/>
    <col min="9220" max="9225" width="12.7109375" customWidth="1"/>
    <col min="9473" max="9473" width="20.7109375" customWidth="1"/>
    <col min="9474" max="9474" width="12.7109375" customWidth="1"/>
    <col min="9475" max="9475" width="13.7109375" customWidth="1"/>
    <col min="9476" max="9481" width="12.7109375" customWidth="1"/>
    <col min="9729" max="9729" width="20.7109375" customWidth="1"/>
    <col min="9730" max="9730" width="12.7109375" customWidth="1"/>
    <col min="9731" max="9731" width="13.7109375" customWidth="1"/>
    <col min="9732" max="9737" width="12.7109375" customWidth="1"/>
    <col min="9985" max="9985" width="20.7109375" customWidth="1"/>
    <col min="9986" max="9986" width="12.7109375" customWidth="1"/>
    <col min="9987" max="9987" width="13.7109375" customWidth="1"/>
    <col min="9988" max="9993" width="12.7109375" customWidth="1"/>
    <col min="10241" max="10241" width="20.7109375" customWidth="1"/>
    <col min="10242" max="10242" width="12.7109375" customWidth="1"/>
    <col min="10243" max="10243" width="13.7109375" customWidth="1"/>
    <col min="10244" max="10249" width="12.7109375" customWidth="1"/>
    <col min="10497" max="10497" width="20.7109375" customWidth="1"/>
    <col min="10498" max="10498" width="12.7109375" customWidth="1"/>
    <col min="10499" max="10499" width="13.7109375" customWidth="1"/>
    <col min="10500" max="10505" width="12.7109375" customWidth="1"/>
    <col min="10753" max="10753" width="20.7109375" customWidth="1"/>
    <col min="10754" max="10754" width="12.7109375" customWidth="1"/>
    <col min="10755" max="10755" width="13.7109375" customWidth="1"/>
    <col min="10756" max="10761" width="12.7109375" customWidth="1"/>
    <col min="11009" max="11009" width="20.7109375" customWidth="1"/>
    <col min="11010" max="11010" width="12.7109375" customWidth="1"/>
    <col min="11011" max="11011" width="13.7109375" customWidth="1"/>
    <col min="11012" max="11017" width="12.7109375" customWidth="1"/>
    <col min="11265" max="11265" width="20.7109375" customWidth="1"/>
    <col min="11266" max="11266" width="12.7109375" customWidth="1"/>
    <col min="11267" max="11267" width="13.7109375" customWidth="1"/>
    <col min="11268" max="11273" width="12.7109375" customWidth="1"/>
    <col min="11521" max="11521" width="20.7109375" customWidth="1"/>
    <col min="11522" max="11522" width="12.7109375" customWidth="1"/>
    <col min="11523" max="11523" width="13.7109375" customWidth="1"/>
    <col min="11524" max="11529" width="12.7109375" customWidth="1"/>
    <col min="11777" max="11777" width="20.7109375" customWidth="1"/>
    <col min="11778" max="11778" width="12.7109375" customWidth="1"/>
    <col min="11779" max="11779" width="13.7109375" customWidth="1"/>
    <col min="11780" max="11785" width="12.7109375" customWidth="1"/>
    <col min="12033" max="12033" width="20.7109375" customWidth="1"/>
    <col min="12034" max="12034" width="12.7109375" customWidth="1"/>
    <col min="12035" max="12035" width="13.7109375" customWidth="1"/>
    <col min="12036" max="12041" width="12.7109375" customWidth="1"/>
    <col min="12289" max="12289" width="20.7109375" customWidth="1"/>
    <col min="12290" max="12290" width="12.7109375" customWidth="1"/>
    <col min="12291" max="12291" width="13.7109375" customWidth="1"/>
    <col min="12292" max="12297" width="12.7109375" customWidth="1"/>
    <col min="12545" max="12545" width="20.7109375" customWidth="1"/>
    <col min="12546" max="12546" width="12.7109375" customWidth="1"/>
    <col min="12547" max="12547" width="13.7109375" customWidth="1"/>
    <col min="12548" max="12553" width="12.7109375" customWidth="1"/>
    <col min="12801" max="12801" width="20.7109375" customWidth="1"/>
    <col min="12802" max="12802" width="12.7109375" customWidth="1"/>
    <col min="12803" max="12803" width="13.7109375" customWidth="1"/>
    <col min="12804" max="12809" width="12.7109375" customWidth="1"/>
    <col min="13057" max="13057" width="20.7109375" customWidth="1"/>
    <col min="13058" max="13058" width="12.7109375" customWidth="1"/>
    <col min="13059" max="13059" width="13.7109375" customWidth="1"/>
    <col min="13060" max="13065" width="12.7109375" customWidth="1"/>
    <col min="13313" max="13313" width="20.7109375" customWidth="1"/>
    <col min="13314" max="13314" width="12.7109375" customWidth="1"/>
    <col min="13315" max="13315" width="13.7109375" customWidth="1"/>
    <col min="13316" max="13321" width="12.7109375" customWidth="1"/>
    <col min="13569" max="13569" width="20.7109375" customWidth="1"/>
    <col min="13570" max="13570" width="12.7109375" customWidth="1"/>
    <col min="13571" max="13571" width="13.7109375" customWidth="1"/>
    <col min="13572" max="13577" width="12.7109375" customWidth="1"/>
    <col min="13825" max="13825" width="20.7109375" customWidth="1"/>
    <col min="13826" max="13826" width="12.7109375" customWidth="1"/>
    <col min="13827" max="13827" width="13.7109375" customWidth="1"/>
    <col min="13828" max="13833" width="12.7109375" customWidth="1"/>
    <col min="14081" max="14081" width="20.7109375" customWidth="1"/>
    <col min="14082" max="14082" width="12.7109375" customWidth="1"/>
    <col min="14083" max="14083" width="13.7109375" customWidth="1"/>
    <col min="14084" max="14089" width="12.7109375" customWidth="1"/>
    <col min="14337" max="14337" width="20.7109375" customWidth="1"/>
    <col min="14338" max="14338" width="12.7109375" customWidth="1"/>
    <col min="14339" max="14339" width="13.7109375" customWidth="1"/>
    <col min="14340" max="14345" width="12.7109375" customWidth="1"/>
    <col min="14593" max="14593" width="20.7109375" customWidth="1"/>
    <col min="14594" max="14594" width="12.7109375" customWidth="1"/>
    <col min="14595" max="14595" width="13.7109375" customWidth="1"/>
    <col min="14596" max="14601" width="12.7109375" customWidth="1"/>
    <col min="14849" max="14849" width="20.7109375" customWidth="1"/>
    <col min="14850" max="14850" width="12.7109375" customWidth="1"/>
    <col min="14851" max="14851" width="13.7109375" customWidth="1"/>
    <col min="14852" max="14857" width="12.7109375" customWidth="1"/>
    <col min="15105" max="15105" width="20.7109375" customWidth="1"/>
    <col min="15106" max="15106" width="12.7109375" customWidth="1"/>
    <col min="15107" max="15107" width="13.7109375" customWidth="1"/>
    <col min="15108" max="15113" width="12.7109375" customWidth="1"/>
    <col min="15361" max="15361" width="20.7109375" customWidth="1"/>
    <col min="15362" max="15362" width="12.7109375" customWidth="1"/>
    <col min="15363" max="15363" width="13.7109375" customWidth="1"/>
    <col min="15364" max="15369" width="12.7109375" customWidth="1"/>
    <col min="15617" max="15617" width="20.7109375" customWidth="1"/>
    <col min="15618" max="15618" width="12.7109375" customWidth="1"/>
    <col min="15619" max="15619" width="13.7109375" customWidth="1"/>
    <col min="15620" max="15625" width="12.7109375" customWidth="1"/>
    <col min="15873" max="15873" width="20.7109375" customWidth="1"/>
    <col min="15874" max="15874" width="12.7109375" customWidth="1"/>
    <col min="15875" max="15875" width="13.7109375" customWidth="1"/>
    <col min="15876" max="15881" width="12.7109375" customWidth="1"/>
    <col min="16129" max="16129" width="20.7109375" customWidth="1"/>
    <col min="16130" max="16130" width="12.7109375" customWidth="1"/>
    <col min="16131" max="16131" width="13.7109375" customWidth="1"/>
    <col min="16132" max="16137" width="12.7109375" customWidth="1"/>
  </cols>
  <sheetData>
    <row r="1" spans="1:9" s="34" customFormat="1" ht="18" customHeight="1" x14ac:dyDescent="0.25">
      <c r="A1" s="33" t="s">
        <v>43</v>
      </c>
      <c r="I1" s="35"/>
    </row>
    <row r="2" spans="1:9" s="34" customFormat="1" ht="21.95" customHeight="1" x14ac:dyDescent="0.35">
      <c r="A2" s="125" t="s">
        <v>125</v>
      </c>
      <c r="B2" s="126"/>
      <c r="C2" s="126"/>
      <c r="D2" s="126"/>
      <c r="E2" s="126"/>
      <c r="F2" s="126"/>
      <c r="G2" s="126"/>
      <c r="H2" s="126"/>
      <c r="I2" s="126"/>
    </row>
    <row r="3" spans="1:9" s="34" customFormat="1" ht="18" customHeight="1" x14ac:dyDescent="0.25">
      <c r="A3" s="34" t="s">
        <v>124</v>
      </c>
    </row>
    <row r="4" spans="1:9" s="34" customFormat="1" ht="18" customHeight="1" x14ac:dyDescent="0.25"/>
    <row r="5" spans="1:9" x14ac:dyDescent="0.2">
      <c r="B5" s="36" t="s">
        <v>44</v>
      </c>
      <c r="C5" s="36" t="s">
        <v>44</v>
      </c>
      <c r="D5" s="36" t="s">
        <v>44</v>
      </c>
      <c r="E5" s="36" t="s">
        <v>44</v>
      </c>
      <c r="F5" s="36" t="s">
        <v>30</v>
      </c>
      <c r="G5" s="36" t="s">
        <v>30</v>
      </c>
      <c r="H5" s="36" t="s">
        <v>30</v>
      </c>
      <c r="I5" s="36" t="s">
        <v>30</v>
      </c>
    </row>
    <row r="6" spans="1:9" x14ac:dyDescent="0.2">
      <c r="A6" s="37" t="s">
        <v>45</v>
      </c>
      <c r="B6" s="37" t="s">
        <v>46</v>
      </c>
      <c r="C6" s="37" t="s">
        <v>47</v>
      </c>
      <c r="D6" s="37" t="s">
        <v>48</v>
      </c>
      <c r="E6" s="37" t="s">
        <v>49</v>
      </c>
      <c r="F6" s="37" t="s">
        <v>50</v>
      </c>
      <c r="G6" s="37" t="s">
        <v>51</v>
      </c>
      <c r="H6" s="37" t="s">
        <v>52</v>
      </c>
      <c r="I6" s="37" t="s">
        <v>49</v>
      </c>
    </row>
    <row r="8" spans="1:9" x14ac:dyDescent="0.2">
      <c r="B8" s="38"/>
      <c r="C8" s="38"/>
      <c r="D8" s="38"/>
      <c r="E8" s="38"/>
      <c r="F8" s="38"/>
      <c r="G8" s="38"/>
      <c r="H8" s="38"/>
      <c r="I8" s="38"/>
    </row>
    <row r="9" spans="1:9" ht="15.75" thickBot="1" x14ac:dyDescent="0.3">
      <c r="A9" s="39" t="s">
        <v>53</v>
      </c>
      <c r="B9" s="40">
        <v>28400371.059999999</v>
      </c>
      <c r="C9" s="40">
        <v>0</v>
      </c>
      <c r="D9" s="40">
        <v>0</v>
      </c>
      <c r="E9" s="40">
        <v>28400371.059999999</v>
      </c>
      <c r="F9" s="40">
        <v>17907977.949999999</v>
      </c>
      <c r="G9" s="40">
        <v>727383.64</v>
      </c>
      <c r="H9" s="40">
        <v>0</v>
      </c>
      <c r="I9" s="40">
        <v>18634361.59</v>
      </c>
    </row>
    <row r="10" spans="1:9" ht="13.5" thickTop="1" x14ac:dyDescent="0.2"/>
    <row r="11" spans="1:9" x14ac:dyDescent="0.2">
      <c r="G11" s="20">
        <f>+G9/12</f>
        <v>60615.303333333337</v>
      </c>
      <c r="H11" s="21" t="s">
        <v>70</v>
      </c>
    </row>
  </sheetData>
  <mergeCells count="1">
    <mergeCell ref="A2:I2"/>
  </mergeCells>
  <pageMargins left="0.7" right="0.7" top="0.75" bottom="0.75" header="0.3" footer="0.3"/>
  <pageSetup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
  <sheetViews>
    <sheetView workbookViewId="0">
      <selection activeCell="B5" sqref="B5"/>
    </sheetView>
  </sheetViews>
  <sheetFormatPr defaultRowHeight="12.75" x14ac:dyDescent="0.2"/>
  <cols>
    <col min="2" max="2" width="11.28515625" bestFit="1" customWidth="1"/>
  </cols>
  <sheetData>
    <row r="4" spans="2:2" x14ac:dyDescent="0.2">
      <c r="B4" s="20">
        <v>43980.33</v>
      </c>
    </row>
  </sheetData>
  <pageMargins left="0.7" right="0.7" top="0.75" bottom="0.75" header="0.3" footer="0.3"/>
  <pageSetup scale="6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CC2A-ABA4-4BCB-B7BA-FC791406CD75}">
  <dimension ref="A4:A28"/>
  <sheetViews>
    <sheetView workbookViewId="0">
      <selection activeCell="N19" sqref="N19"/>
    </sheetView>
  </sheetViews>
  <sheetFormatPr defaultRowHeight="12.75" x14ac:dyDescent="0.2"/>
  <sheetData>
    <row r="4" spans="1:1" ht="15" x14ac:dyDescent="0.2">
      <c r="A4" s="127" t="s">
        <v>126</v>
      </c>
    </row>
    <row r="5" spans="1:1" ht="15" x14ac:dyDescent="0.2">
      <c r="A5" s="127"/>
    </row>
    <row r="6" spans="1:1" ht="15" x14ac:dyDescent="0.2">
      <c r="A6" s="127" t="s">
        <v>127</v>
      </c>
    </row>
    <row r="7" spans="1:1" ht="15" x14ac:dyDescent="0.2">
      <c r="A7" s="127"/>
    </row>
    <row r="8" spans="1:1" ht="15" x14ac:dyDescent="0.2">
      <c r="A8" s="127" t="s">
        <v>128</v>
      </c>
    </row>
    <row r="9" spans="1:1" ht="15" x14ac:dyDescent="0.2">
      <c r="A9" s="127"/>
    </row>
    <row r="10" spans="1:1" ht="15" x14ac:dyDescent="0.2">
      <c r="A10" s="127" t="s">
        <v>129</v>
      </c>
    </row>
    <row r="11" spans="1:1" ht="15" x14ac:dyDescent="0.2">
      <c r="A11" s="127"/>
    </row>
    <row r="12" spans="1:1" ht="15" x14ac:dyDescent="0.2">
      <c r="A12" s="127" t="s">
        <v>130</v>
      </c>
    </row>
    <row r="13" spans="1:1" ht="15" x14ac:dyDescent="0.2">
      <c r="A13" s="127"/>
    </row>
    <row r="14" spans="1:1" ht="15" x14ac:dyDescent="0.2">
      <c r="A14" s="127" t="s">
        <v>131</v>
      </c>
    </row>
    <row r="15" spans="1:1" ht="15" x14ac:dyDescent="0.2">
      <c r="A15" s="127"/>
    </row>
    <row r="16" spans="1:1" ht="21.75" x14ac:dyDescent="0.2">
      <c r="A16" s="128" t="s">
        <v>132</v>
      </c>
    </row>
    <row r="17" spans="1:1" ht="18.75" x14ac:dyDescent="0.2">
      <c r="A17" s="129" t="s">
        <v>133</v>
      </c>
    </row>
    <row r="19" spans="1:1" ht="18" x14ac:dyDescent="0.2">
      <c r="A19" s="130" t="s">
        <v>134</v>
      </c>
    </row>
    <row r="20" spans="1:1" ht="18" x14ac:dyDescent="0.2">
      <c r="A20" s="130" t="s">
        <v>135</v>
      </c>
    </row>
    <row r="21" spans="1:1" ht="18" x14ac:dyDescent="0.2">
      <c r="A21" s="130" t="s">
        <v>136</v>
      </c>
    </row>
    <row r="22" spans="1:1" ht="18" x14ac:dyDescent="0.2">
      <c r="A22" s="130" t="s">
        <v>137</v>
      </c>
    </row>
    <row r="23" spans="1:1" ht="18" x14ac:dyDescent="0.2">
      <c r="A23" s="130"/>
    </row>
    <row r="24" spans="1:1" ht="18" x14ac:dyDescent="0.2">
      <c r="A24" s="130" t="s">
        <v>138</v>
      </c>
    </row>
    <row r="25" spans="1:1" ht="18" x14ac:dyDescent="0.2">
      <c r="A25" s="130" t="s">
        <v>139</v>
      </c>
    </row>
    <row r="26" spans="1:1" ht="18" x14ac:dyDescent="0.2">
      <c r="A26" s="130" t="s">
        <v>140</v>
      </c>
    </row>
    <row r="27" spans="1:1" x14ac:dyDescent="0.2">
      <c r="A27" s="131" t="s">
        <v>141</v>
      </c>
    </row>
    <row r="28" spans="1:1" x14ac:dyDescent="0.2">
      <c r="A28" s="131" t="s">
        <v>142</v>
      </c>
    </row>
  </sheetData>
  <hyperlinks>
    <hyperlink ref="A27" r:id="rId1" display="mailto:tlawson@bgc-cpa.com" xr:uid="{28D54151-7BCC-41FF-9FE7-03C3FE315E64}"/>
    <hyperlink ref="A28" r:id="rId2" display="http://www.bgc-cpa.com/" xr:uid="{C13AEB90-553D-4B09-B9DE-CE786BB4795F}"/>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2023 HCHD Budget</vt:lpstr>
      <vt:lpstr>Budget Comparison</vt:lpstr>
      <vt:lpstr>IGT estimates</vt:lpstr>
      <vt:lpstr>Tax Revenue</vt:lpstr>
      <vt:lpstr>InterestExp</vt:lpstr>
      <vt:lpstr>Depreciation</vt:lpstr>
      <vt:lpstr>Appraisal Fees</vt:lpstr>
      <vt:lpstr>Brown &amp; Graham</vt:lpstr>
      <vt:lpstr>'Budget Comparison'!Print_Area</vt:lpstr>
      <vt:lpstr>'IGT estimates'!Print_Area</vt:lpstr>
    </vt:vector>
  </TitlesOfParts>
  <Company>GPCH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BAILEY</dc:creator>
  <cp:lastModifiedBy>Dina Hermes</cp:lastModifiedBy>
  <cp:lastPrinted>2021-08-25T22:09:58Z</cp:lastPrinted>
  <dcterms:created xsi:type="dcterms:W3CDTF">2004-02-19T20:39:32Z</dcterms:created>
  <dcterms:modified xsi:type="dcterms:W3CDTF">2022-08-23T19:08:17Z</dcterms:modified>
</cp:coreProperties>
</file>