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HCHD FYE 2024\Budget 2024\"/>
    </mc:Choice>
  </mc:AlternateContent>
  <xr:revisionPtr revIDLastSave="0" documentId="13_ncr:1_{B987538F-32F4-4481-9004-6C4C29BD4516}" xr6:coauthVersionLast="47" xr6:coauthVersionMax="47" xr10:uidLastSave="{00000000-0000-0000-0000-000000000000}"/>
  <bookViews>
    <workbookView xWindow="-120" yWindow="-120" windowWidth="29040" windowHeight="15840" tabRatio="855" xr2:uid="{00000000-000D-0000-FFFF-FFFF00000000}"/>
  </bookViews>
  <sheets>
    <sheet name="2024 HCHD Budget" sheetId="63" r:id="rId1"/>
    <sheet name="Budget Comparison" sheetId="65" r:id="rId2"/>
    <sheet name="Tax Revenue" sheetId="58" r:id="rId3"/>
    <sheet name="InterestExp" sheetId="55" r:id="rId4"/>
    <sheet name="Depreciation" sheetId="62" r:id="rId5"/>
    <sheet name="Appraisal Fees" sheetId="64" r:id="rId6"/>
  </sheets>
  <definedNames>
    <definedName name="_xlnm.Print_Area" localSheetId="1">'Budget Comparison'!$A$1:$E$38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65" l="1"/>
  <c r="C36" i="65"/>
  <c r="C34" i="65"/>
  <c r="E24" i="65"/>
  <c r="C18" i="65"/>
  <c r="C14" i="65"/>
  <c r="B24" i="65"/>
  <c r="F4" i="55"/>
  <c r="H9" i="63"/>
  <c r="Q26" i="63"/>
  <c r="Q27" i="63"/>
  <c r="P31" i="63"/>
  <c r="N10" i="63"/>
  <c r="Q8" i="63"/>
  <c r="P26" i="63"/>
  <c r="N23" i="63"/>
  <c r="N24" i="63"/>
  <c r="Q23" i="63"/>
  <c r="P9" i="63"/>
  <c r="Q9" i="63" s="1"/>
  <c r="V8" i="63"/>
  <c r="Q7" i="63"/>
  <c r="R9" i="63"/>
  <c r="R13" i="63" s="1"/>
  <c r="N8" i="63" l="1"/>
  <c r="B9" i="65" s="1"/>
  <c r="S13" i="63"/>
  <c r="T13" i="63"/>
  <c r="S17" i="63"/>
  <c r="T17" i="63"/>
  <c r="S33" i="63"/>
  <c r="S35" i="63" s="1"/>
  <c r="S37" i="63" s="1"/>
  <c r="T33" i="63"/>
  <c r="N9" i="63"/>
  <c r="Q31" i="63"/>
  <c r="Q20" i="63"/>
  <c r="Q19" i="63"/>
  <c r="Q10" i="63"/>
  <c r="V7" i="63"/>
  <c r="T35" i="63" l="1"/>
  <c r="T37" i="63" s="1"/>
  <c r="M25" i="58"/>
  <c r="V9" i="63"/>
  <c r="B35" i="65" l="1"/>
  <c r="B37" i="65"/>
  <c r="E4" i="55"/>
  <c r="F7" i="58" l="1"/>
  <c r="C32" i="63" l="1"/>
  <c r="D32" i="63"/>
  <c r="E32" i="63"/>
  <c r="F32" i="63"/>
  <c r="G32" i="63"/>
  <c r="H32" i="63"/>
  <c r="I32" i="63"/>
  <c r="J32" i="63"/>
  <c r="K32" i="63"/>
  <c r="L32" i="63"/>
  <c r="M32" i="63"/>
  <c r="B32" i="63"/>
  <c r="P17" i="63"/>
  <c r="Q21" i="63"/>
  <c r="Q22" i="63"/>
  <c r="Q30" i="63"/>
  <c r="G11" i="62" l="1"/>
  <c r="B30" i="63" s="1"/>
  <c r="C30" i="63" s="1"/>
  <c r="D30" i="63" s="1"/>
  <c r="E30" i="63" s="1"/>
  <c r="F30" i="63" s="1"/>
  <c r="G30" i="63" s="1"/>
  <c r="H30" i="63" s="1"/>
  <c r="I30" i="63" s="1"/>
  <c r="J30" i="63" s="1"/>
  <c r="K30" i="63" s="1"/>
  <c r="L30" i="63" s="1"/>
  <c r="M30" i="63" s="1"/>
  <c r="E17" i="55"/>
  <c r="E16" i="55"/>
  <c r="F16" i="55" s="1"/>
  <c r="E15" i="55"/>
  <c r="E14" i="55"/>
  <c r="E13" i="55"/>
  <c r="E12" i="55"/>
  <c r="E11" i="55"/>
  <c r="E10" i="55"/>
  <c r="F10" i="55" s="1"/>
  <c r="F25" i="63" s="1"/>
  <c r="E9" i="55"/>
  <c r="E8" i="55"/>
  <c r="E7" i="55"/>
  <c r="E6" i="55"/>
  <c r="E5" i="55"/>
  <c r="F5" i="55" s="1"/>
  <c r="L25" i="63" l="1"/>
  <c r="F17" i="55"/>
  <c r="M25" i="63" s="1"/>
  <c r="F6" i="55"/>
  <c r="F11" i="55"/>
  <c r="G25" i="63" s="1"/>
  <c r="F12" i="55" l="1"/>
  <c r="F13" i="55" s="1"/>
  <c r="F7" i="55"/>
  <c r="B25" i="63"/>
  <c r="H25" i="63" l="1"/>
  <c r="F14" i="55"/>
  <c r="I25" i="63"/>
  <c r="F8" i="55"/>
  <c r="C25" i="63"/>
  <c r="D17" i="58"/>
  <c r="D18" i="58" s="1"/>
  <c r="F9" i="55" l="1"/>
  <c r="E25" i="63" s="1"/>
  <c r="D25" i="63"/>
  <c r="F15" i="55"/>
  <c r="K25" i="63" s="1"/>
  <c r="J25" i="63"/>
  <c r="N31" i="63"/>
  <c r="B32" i="65" s="1"/>
  <c r="E32" i="65" s="1"/>
  <c r="V27" i="63" l="1"/>
  <c r="Q16" i="63"/>
  <c r="V31" i="63"/>
  <c r="Q32" i="63"/>
  <c r="Q29" i="63"/>
  <c r="Q28" i="63"/>
  <c r="V28" i="63" s="1"/>
  <c r="Q25" i="63"/>
  <c r="Q15" i="63"/>
  <c r="C10" i="58" l="1"/>
  <c r="N27" i="63" l="1"/>
  <c r="B28" i="65" s="1"/>
  <c r="E28" i="65" s="1"/>
  <c r="N28" i="63"/>
  <c r="B29" i="65" s="1"/>
  <c r="E29" i="65" s="1"/>
  <c r="N29" i="63"/>
  <c r="B30" i="65" s="1"/>
  <c r="E30" i="65" s="1"/>
  <c r="C17" i="63" l="1"/>
  <c r="D17" i="63"/>
  <c r="E17" i="63"/>
  <c r="F17" i="63"/>
  <c r="G17" i="63"/>
  <c r="H17" i="63"/>
  <c r="I17" i="63"/>
  <c r="J17" i="63"/>
  <c r="K17" i="63"/>
  <c r="L17" i="63"/>
  <c r="M17" i="63"/>
  <c r="B17" i="63"/>
  <c r="R33" i="63" l="1"/>
  <c r="V32" i="63"/>
  <c r="V30" i="63"/>
  <c r="V29" i="63"/>
  <c r="V26" i="63"/>
  <c r="N26" i="63"/>
  <c r="B27" i="65" s="1"/>
  <c r="E27" i="65" s="1"/>
  <c r="N25" i="63"/>
  <c r="B26" i="65" s="1"/>
  <c r="E26" i="65" s="1"/>
  <c r="V24" i="63"/>
  <c r="B25" i="65"/>
  <c r="E25" i="65" s="1"/>
  <c r="V21" i="63"/>
  <c r="N21" i="63"/>
  <c r="B22" i="65" s="1"/>
  <c r="E22" i="65" s="1"/>
  <c r="V20" i="63"/>
  <c r="N20" i="63"/>
  <c r="B21" i="65" s="1"/>
  <c r="E21" i="65" s="1"/>
  <c r="P33" i="63"/>
  <c r="P35" i="63" s="1"/>
  <c r="N19" i="63"/>
  <c r="B20" i="65" s="1"/>
  <c r="E20" i="65" s="1"/>
  <c r="Q18" i="63"/>
  <c r="V18" i="63" s="1"/>
  <c r="N18" i="63"/>
  <c r="B19" i="65" s="1"/>
  <c r="E19" i="65" s="1"/>
  <c r="V16" i="63"/>
  <c r="R17" i="63"/>
  <c r="V11" i="63"/>
  <c r="N11" i="63"/>
  <c r="B12" i="65" s="1"/>
  <c r="E12" i="65" s="1"/>
  <c r="V10" i="63"/>
  <c r="B11" i="65"/>
  <c r="E11" i="65" s="1"/>
  <c r="N7" i="63"/>
  <c r="B8" i="65" s="1"/>
  <c r="E8" i="65" s="1"/>
  <c r="M33" i="63"/>
  <c r="M35" i="63" s="1"/>
  <c r="R35" i="63" l="1"/>
  <c r="R37" i="63" s="1"/>
  <c r="D33" i="63"/>
  <c r="D35" i="63" s="1"/>
  <c r="F33" i="63"/>
  <c r="F35" i="63" s="1"/>
  <c r="H33" i="63"/>
  <c r="H35" i="63" s="1"/>
  <c r="J33" i="63"/>
  <c r="J35" i="63" s="1"/>
  <c r="L33" i="63"/>
  <c r="L35" i="63" s="1"/>
  <c r="C33" i="63"/>
  <c r="C35" i="63" s="1"/>
  <c r="E33" i="63"/>
  <c r="E35" i="63" s="1"/>
  <c r="G33" i="63"/>
  <c r="G35" i="63" s="1"/>
  <c r="I33" i="63"/>
  <c r="I35" i="63" s="1"/>
  <c r="K33" i="63"/>
  <c r="K35" i="63" s="1"/>
  <c r="V15" i="63"/>
  <c r="V17" i="63" s="1"/>
  <c r="B33" i="63"/>
  <c r="B35" i="63" s="1"/>
  <c r="Q17" i="63"/>
  <c r="V25" i="63"/>
  <c r="B10" i="65"/>
  <c r="E10" i="65" s="1"/>
  <c r="N16" i="63"/>
  <c r="B17" i="65" s="1"/>
  <c r="E17" i="65" s="1"/>
  <c r="V22" i="63"/>
  <c r="N22" i="63"/>
  <c r="B23" i="65" s="1"/>
  <c r="E23" i="65" s="1"/>
  <c r="N30" i="63"/>
  <c r="B31" i="65" s="1"/>
  <c r="E31" i="65" s="1"/>
  <c r="N32" i="63"/>
  <c r="B33" i="65" s="1"/>
  <c r="E33" i="65" s="1"/>
  <c r="V19" i="63"/>
  <c r="V33" i="63" l="1"/>
  <c r="V35" i="63" s="1"/>
  <c r="N15" i="63"/>
  <c r="N33" i="63"/>
  <c r="B34" i="65" s="1"/>
  <c r="E34" i="65" s="1"/>
  <c r="Q33" i="63"/>
  <c r="Q35" i="63" s="1"/>
  <c r="N17" i="63" l="1"/>
  <c r="B18" i="65" s="1"/>
  <c r="E18" i="65" s="1"/>
  <c r="B16" i="65"/>
  <c r="E16" i="65" s="1"/>
  <c r="N35" i="63" l="1"/>
  <c r="B36" i="65" s="1"/>
  <c r="E36" i="65" s="1"/>
  <c r="B26" i="58"/>
  <c r="C26" i="58"/>
  <c r="D26" i="58"/>
  <c r="E26" i="58"/>
  <c r="F26" i="58"/>
  <c r="G26" i="58"/>
  <c r="H26" i="58"/>
  <c r="I26" i="58"/>
  <c r="J26" i="58"/>
  <c r="K26" i="58"/>
  <c r="L26" i="58"/>
  <c r="A26" i="58"/>
  <c r="A28" i="58" s="1"/>
  <c r="F10" i="58" l="1"/>
  <c r="D10" i="58"/>
  <c r="M28" i="58" s="1"/>
  <c r="B12" i="63" s="1"/>
  <c r="F11" i="58" l="1"/>
  <c r="C11" i="58"/>
  <c r="G7" i="58"/>
  <c r="C18" i="58"/>
  <c r="L28" i="58" l="1"/>
  <c r="M12" i="63" s="1"/>
  <c r="C28" i="58"/>
  <c r="D12" i="63" s="1"/>
  <c r="E28" i="58"/>
  <c r="F12" i="63" s="1"/>
  <c r="G28" i="58"/>
  <c r="H12" i="63" s="1"/>
  <c r="I28" i="58"/>
  <c r="J12" i="63" s="1"/>
  <c r="K28" i="58"/>
  <c r="L12" i="63" s="1"/>
  <c r="B28" i="58"/>
  <c r="C12" i="63" s="1"/>
  <c r="D28" i="58"/>
  <c r="E12" i="63" s="1"/>
  <c r="F28" i="58"/>
  <c r="G12" i="63" s="1"/>
  <c r="H28" i="58"/>
  <c r="I12" i="63" s="1"/>
  <c r="J28" i="58"/>
  <c r="K12" i="63" s="1"/>
  <c r="G10" i="58"/>
  <c r="G11" i="58" s="1"/>
  <c r="B13" i="63" l="1"/>
  <c r="B37" i="63" s="1"/>
  <c r="M13" i="63"/>
  <c r="M37" i="63" s="1"/>
  <c r="K13" i="63"/>
  <c r="K37" i="63" s="1"/>
  <c r="G13" i="63"/>
  <c r="G37" i="63" s="1"/>
  <c r="L13" i="63"/>
  <c r="L37" i="63" s="1"/>
  <c r="H13" i="63"/>
  <c r="H37" i="63" s="1"/>
  <c r="D13" i="63"/>
  <c r="D37" i="63" s="1"/>
  <c r="I13" i="63"/>
  <c r="I37" i="63" s="1"/>
  <c r="E13" i="63"/>
  <c r="E37" i="63" s="1"/>
  <c r="J13" i="63"/>
  <c r="J37" i="63" s="1"/>
  <c r="F13" i="63"/>
  <c r="F37" i="63" s="1"/>
  <c r="C19" i="58"/>
  <c r="Q12" i="63" l="1"/>
  <c r="C13" i="63"/>
  <c r="N12" i="63"/>
  <c r="N13" i="63" l="1"/>
  <c r="B13" i="65"/>
  <c r="E13" i="65" s="1"/>
  <c r="P13" i="63"/>
  <c r="P37" i="63" s="1"/>
  <c r="V12" i="63"/>
  <c r="V13" i="63" s="1"/>
  <c r="V37" i="63" s="1"/>
  <c r="Q13" i="63"/>
  <c r="Q37" i="63" s="1"/>
  <c r="C37" i="63"/>
  <c r="N37" i="63" l="1"/>
  <c r="B38" i="65" s="1"/>
  <c r="E38" i="65" s="1"/>
  <c r="B14" i="65"/>
  <c r="E14" i="65" s="1"/>
</calcChain>
</file>

<file path=xl/sharedStrings.xml><?xml version="1.0" encoding="utf-8"?>
<sst xmlns="http://schemas.openxmlformats.org/spreadsheetml/2006/main" count="176" uniqueCount="83">
  <si>
    <t>Budget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</si>
  <si>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</si>
  <si>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</si>
  <si>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</si>
  <si>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</si>
  <si>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</si>
  <si>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</si>
  <si>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</si>
  <si>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</si>
  <si>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</si>
  <si>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</si>
  <si>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</si>
  <si>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</si>
  <si>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Contribution Margin</t>
  </si>
  <si>
    <t>--------------</t>
  </si>
  <si>
    <t>Hutchinson County Hospital District</t>
  </si>
  <si>
    <t>Total Expenses</t>
  </si>
  <si>
    <t>Other Revenue</t>
  </si>
  <si>
    <t>Tax Revenue</t>
  </si>
  <si>
    <t>Total Net Revenue</t>
  </si>
  <si>
    <t xml:space="preserve">     Insurance</t>
  </si>
  <si>
    <t>Total Departmental expense</t>
  </si>
  <si>
    <t>Sub-Total District Expense</t>
  </si>
  <si>
    <t>IGT Transfers</t>
  </si>
  <si>
    <t>Rental Income-Building</t>
  </si>
  <si>
    <t>Audit and Cost Report</t>
  </si>
  <si>
    <t>Board Relations</t>
  </si>
  <si>
    <t>Interest Expense</t>
  </si>
  <si>
    <t>Travel&amp; lodging</t>
  </si>
  <si>
    <t>Legal Services</t>
  </si>
  <si>
    <t>Depreciation</t>
  </si>
  <si>
    <t>Apprasal Fees</t>
  </si>
  <si>
    <t>Board Elections</t>
  </si>
  <si>
    <t>Current Rate</t>
  </si>
  <si>
    <t>Effective Rate</t>
  </si>
  <si>
    <t>Tax Rate</t>
  </si>
  <si>
    <t>Revenue</t>
  </si>
  <si>
    <t>Change</t>
  </si>
  <si>
    <t>New Appraised Value</t>
  </si>
  <si>
    <t>Charity/Indigent Care</t>
  </si>
  <si>
    <t>1/2 in between Maximum Operating &amp; Effective Rates</t>
  </si>
  <si>
    <t>Annulized</t>
  </si>
  <si>
    <t xml:space="preserve">Actual </t>
  </si>
  <si>
    <t>HUTCHINSON  HUTCHINSON COUNTY HOSPITAL DISTRICT</t>
  </si>
  <si>
    <t>Cost</t>
  </si>
  <si>
    <t>Group</t>
  </si>
  <si>
    <t>Beginning</t>
  </si>
  <si>
    <t>Acquisitions</t>
  </si>
  <si>
    <t>Disposals</t>
  </si>
  <si>
    <t>Ending</t>
  </si>
  <si>
    <t>Prior</t>
  </si>
  <si>
    <t>Additions</t>
  </si>
  <si>
    <t>Reductions</t>
  </si>
  <si>
    <t>Grand Total</t>
  </si>
  <si>
    <t>Advertising - HCHD</t>
  </si>
  <si>
    <t>Average</t>
  </si>
  <si>
    <t>Bank/Other Fees</t>
  </si>
  <si>
    <t>Membership Dues &amp; Subscriptions</t>
  </si>
  <si>
    <t>Equipment Rental</t>
  </si>
  <si>
    <t>Actual (Oct-Jul)</t>
  </si>
  <si>
    <t>Asbestoes Expense</t>
  </si>
  <si>
    <t>Other Expenses</t>
  </si>
  <si>
    <t>Brown &amp; Graham</t>
  </si>
  <si>
    <t>Roll Back Rate</t>
  </si>
  <si>
    <t xml:space="preserve">     Cont Serv-Non-Medical</t>
  </si>
  <si>
    <t>Series A</t>
  </si>
  <si>
    <t>Series B</t>
  </si>
  <si>
    <t>Series C</t>
  </si>
  <si>
    <t>Total accrued interest</t>
  </si>
  <si>
    <t>Interest for Month</t>
  </si>
  <si>
    <t>Monthly Depreciation</t>
  </si>
  <si>
    <t>Rental Income-Ambulance Building</t>
  </si>
  <si>
    <t>Comparison to PY Budget</t>
  </si>
  <si>
    <t>Proposed Budget</t>
  </si>
  <si>
    <t>Final Budget</t>
  </si>
  <si>
    <t>Increase/(Decrease)</t>
  </si>
  <si>
    <t>FYE: 9/30/2023</t>
  </si>
  <si>
    <t>Book Group Summary   10/01/22 -  9/30/23</t>
  </si>
  <si>
    <t>Budget for FYE 9-30-24</t>
  </si>
  <si>
    <t>Indigent Care Support</t>
  </si>
  <si>
    <t>2020-2023</t>
  </si>
  <si>
    <t>Consulting Fees</t>
  </si>
  <si>
    <t>updated 9/05/23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</si>
</sst>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4" fontId="1" fillId="0" borderId="0" xfId="1" applyNumberFormat="1"/>
    <xf numFmtId="164" fontId="2" fillId="0" borderId="0" xfId="0" applyNumberFormat="1" applyFont="1"/>
    <xf numFmtId="164" fontId="1" fillId="0" borderId="0" xfId="1" applyNumberFormat="1" applyFill="1"/>
    <xf numFmtId="164" fontId="1" fillId="0" borderId="0" xfId="1" quotePrefix="1" applyNumberFormat="1" applyFont="1" applyFill="1"/>
    <xf numFmtId="164" fontId="0" fillId="0" borderId="0" xfId="0" applyNumberFormat="1"/>
    <xf numFmtId="165" fontId="0" fillId="0" borderId="0" xfId="3" applyNumberFormat="1" applyFont="1"/>
    <xf numFmtId="17" fontId="0" fillId="0" borderId="0" xfId="0" applyNumberFormat="1"/>
    <xf numFmtId="165" fontId="0" fillId="0" borderId="0" xfId="0" applyNumberFormat="1"/>
    <xf numFmtId="0" fontId="5" fillId="0" borderId="0" xfId="0" applyFont="1"/>
    <xf numFmtId="164" fontId="4" fillId="0" borderId="0" xfId="1" applyNumberFormat="1" applyFont="1" applyFill="1"/>
    <xf numFmtId="37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44" fontId="0" fillId="0" borderId="0" xfId="3" applyFont="1"/>
    <xf numFmtId="0" fontId="1" fillId="0" borderId="0" xfId="0" applyFont="1"/>
    <xf numFmtId="164" fontId="0" fillId="0" borderId="0" xfId="1" applyNumberFormat="1" applyFont="1"/>
    <xf numFmtId="9" fontId="0" fillId="0" borderId="0" xfId="2" applyFont="1"/>
    <xf numFmtId="164" fontId="0" fillId="0" borderId="0" xfId="1" applyNumberFormat="1" applyFont="1" applyFill="1"/>
    <xf numFmtId="166" fontId="0" fillId="0" borderId="0" xfId="3" applyNumberFormat="1" applyFont="1"/>
    <xf numFmtId="166" fontId="0" fillId="2" borderId="0" xfId="3" applyNumberFormat="1" applyFont="1" applyFill="1"/>
    <xf numFmtId="166" fontId="0" fillId="0" borderId="0" xfId="0" applyNumberFormat="1"/>
    <xf numFmtId="0" fontId="2" fillId="0" borderId="0" xfId="0" applyFont="1" applyAlignment="1">
      <alignment horizontal="center" wrapText="1"/>
    </xf>
    <xf numFmtId="164" fontId="6" fillId="0" borderId="0" xfId="1" applyNumberFormat="1" applyFont="1" applyFill="1"/>
    <xf numFmtId="164" fontId="9" fillId="0" borderId="0" xfId="1" applyNumberFormat="1" applyFont="1" applyFill="1"/>
    <xf numFmtId="164" fontId="2" fillId="0" borderId="0" xfId="1" applyNumberFormat="1" applyFont="1" applyFill="1"/>
    <xf numFmtId="164" fontId="6" fillId="0" borderId="0" xfId="0" applyNumberFormat="1" applyFont="1"/>
    <xf numFmtId="49" fontId="10" fillId="0" borderId="0" xfId="0" quotePrefix="1" applyNumberFormat="1" applyFont="1"/>
    <xf numFmtId="49" fontId="10" fillId="0" borderId="0" xfId="0" applyNumberFormat="1" applyFont="1"/>
    <xf numFmtId="49" fontId="10" fillId="0" borderId="0" xfId="0" quotePrefix="1" applyNumberFormat="1" applyFont="1" applyAlignment="1">
      <alignment horizontal="right"/>
    </xf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4" fontId="0" fillId="0" borderId="2" xfId="0" applyNumberFormat="1" applyBorder="1" applyAlignment="1">
      <alignment horizontal="right"/>
    </xf>
    <xf numFmtId="164" fontId="1" fillId="0" borderId="0" xfId="0" applyNumberFormat="1" applyFont="1"/>
    <xf numFmtId="164" fontId="3" fillId="0" borderId="0" xfId="1" applyNumberFormat="1" applyFont="1" applyFill="1"/>
    <xf numFmtId="164" fontId="3" fillId="0" borderId="0" xfId="1" applyNumberFormat="1" applyFont="1"/>
    <xf numFmtId="164" fontId="2" fillId="0" borderId="0" xfId="1" applyNumberFormat="1" applyFont="1"/>
    <xf numFmtId="0" fontId="1" fillId="0" borderId="0" xfId="0" applyFont="1" applyAlignment="1">
      <alignment horizontal="left" indent="1"/>
    </xf>
    <xf numFmtId="164" fontId="2" fillId="0" borderId="0" xfId="1" quotePrefix="1" applyNumberFormat="1" applyFont="1" applyFill="1"/>
    <xf numFmtId="37" fontId="2" fillId="0" borderId="0" xfId="0" applyNumberFormat="1" applyFont="1"/>
    <xf numFmtId="164" fontId="13" fillId="0" borderId="0" xfId="1" applyNumberFormat="1" applyFont="1" applyFill="1"/>
    <xf numFmtId="164" fontId="9" fillId="2" borderId="0" xfId="1" applyNumberFormat="1" applyFont="1" applyFill="1"/>
    <xf numFmtId="164" fontId="1" fillId="0" borderId="0" xfId="1" applyNumberFormat="1" applyFont="1" applyFill="1"/>
    <xf numFmtId="37" fontId="1" fillId="0" borderId="0" xfId="0" applyNumberFormat="1" applyFont="1"/>
    <xf numFmtId="44" fontId="0" fillId="0" borderId="3" xfId="3" applyFont="1" applyBorder="1"/>
    <xf numFmtId="44" fontId="0" fillId="0" borderId="4" xfId="3" applyFont="1" applyBorder="1"/>
    <xf numFmtId="44" fontId="0" fillId="0" borderId="5" xfId="3" applyFont="1" applyBorder="1"/>
    <xf numFmtId="49" fontId="11" fillId="0" borderId="0" xfId="0" quotePrefix="1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25</xdr:col>
      <xdr:colOff>302514</xdr:colOff>
      <xdr:row>75</xdr:row>
      <xdr:rowOff>27337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21AFEB-BC89-F200-A7BE-48AA2FD7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28900"/>
          <a:ext cx="18285714" cy="99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29</xdr:col>
      <xdr:colOff>464439</xdr:colOff>
      <xdr:row>67</xdr:row>
      <xdr:rowOff>27337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CF1248-1698-8BE4-69F5-81BECD2A8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18285714" cy="9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0"/>
  <sheetViews>
    <sheetView tabSelected="1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D40" sqref="D40"/>
    </sheetView>
  </sheetViews>
  <sheetFormatPr defaultRowHeight="12.75" x14ac:dyDescent="0.2"/>
  <cols>
    <col min="1" max="1" width="26.140625" customWidth="1"/>
    <col min="2" max="2" width="12.85546875" bestFit="1" customWidth="1"/>
    <col min="3" max="3" width="11.42578125" bestFit="1" customWidth="1"/>
    <col min="4" max="4" width="11.140625" bestFit="1" customWidth="1"/>
    <col min="5" max="5" width="11.42578125" bestFit="1" customWidth="1"/>
    <col min="6" max="6" width="11.5703125" bestFit="1" customWidth="1"/>
    <col min="7" max="7" width="11.28515625" bestFit="1" customWidth="1"/>
    <col min="8" max="8" width="10.7109375" bestFit="1" customWidth="1"/>
    <col min="9" max="9" width="10.42578125" bestFit="1" customWidth="1"/>
    <col min="10" max="10" width="11" bestFit="1" customWidth="1"/>
    <col min="11" max="13" width="11.140625" bestFit="1" customWidth="1"/>
    <col min="14" max="14" width="12.42578125" style="1" customWidth="1"/>
    <col min="15" max="15" width="2.7109375" customWidth="1"/>
    <col min="16" max="16" width="15.28515625" customWidth="1"/>
    <col min="17" max="20" width="12.42578125" customWidth="1"/>
    <col min="21" max="21" width="2.85546875" customWidth="1"/>
    <col min="22" max="22" width="12.42578125" customWidth="1"/>
  </cols>
  <sheetData>
    <row r="1" spans="1:32" x14ac:dyDescent="0.2">
      <c r="A1" s="1" t="s">
        <v>15</v>
      </c>
      <c r="N1" s="28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2" x14ac:dyDescent="0.2">
      <c r="A2" s="1" t="s">
        <v>78</v>
      </c>
      <c r="E2" s="6"/>
      <c r="F2" s="6"/>
      <c r="G2" s="6"/>
      <c r="H2" s="6"/>
      <c r="I2" s="6"/>
      <c r="J2" s="6"/>
      <c r="K2" s="6"/>
      <c r="L2" s="6"/>
      <c r="M2" s="6"/>
      <c r="N2" s="2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4" spans="1:32" x14ac:dyDescent="0.2">
      <c r="B4">
        <v>31</v>
      </c>
      <c r="C4">
        <v>30</v>
      </c>
      <c r="D4">
        <v>31</v>
      </c>
      <c r="E4">
        <v>31</v>
      </c>
      <c r="F4">
        <v>28</v>
      </c>
      <c r="G4">
        <v>31</v>
      </c>
      <c r="H4">
        <v>30</v>
      </c>
      <c r="I4">
        <v>31</v>
      </c>
      <c r="J4">
        <v>30</v>
      </c>
      <c r="K4">
        <v>31</v>
      </c>
      <c r="L4">
        <v>31</v>
      </c>
      <c r="M4">
        <v>30</v>
      </c>
      <c r="N4" s="13" t="s">
        <v>0</v>
      </c>
      <c r="O4" s="13"/>
      <c r="P4" s="13" t="s">
        <v>59</v>
      </c>
      <c r="Q4" s="13" t="s">
        <v>41</v>
      </c>
      <c r="R4" s="13" t="s">
        <v>42</v>
      </c>
      <c r="S4" s="13" t="s">
        <v>42</v>
      </c>
      <c r="T4" s="13" t="s">
        <v>42</v>
      </c>
      <c r="V4" s="13" t="s">
        <v>55</v>
      </c>
    </row>
    <row r="5" spans="1:32" x14ac:dyDescent="0.2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4">
        <v>2024</v>
      </c>
      <c r="O5" s="14"/>
      <c r="P5" s="14">
        <v>2023</v>
      </c>
      <c r="Q5" s="14">
        <v>2023</v>
      </c>
      <c r="R5" s="14">
        <v>2022</v>
      </c>
      <c r="S5" s="14">
        <v>2021</v>
      </c>
      <c r="T5" s="14">
        <v>2020</v>
      </c>
      <c r="V5" s="14" t="s">
        <v>80</v>
      </c>
    </row>
    <row r="6" spans="1:32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44"/>
      <c r="O6" s="12"/>
      <c r="P6" s="12"/>
      <c r="Q6" s="12"/>
      <c r="R6" s="12"/>
      <c r="S6" s="12"/>
      <c r="T6" s="12"/>
      <c r="V6" s="12"/>
    </row>
    <row r="7" spans="1:32" x14ac:dyDescent="0.2">
      <c r="A7" s="10" t="s">
        <v>23</v>
      </c>
      <c r="B7" s="11">
        <v>0</v>
      </c>
      <c r="C7" s="11">
        <v>-316000</v>
      </c>
      <c r="D7" s="11">
        <v>0</v>
      </c>
      <c r="E7" s="11">
        <v>0</v>
      </c>
      <c r="F7" s="11">
        <v>-408809</v>
      </c>
      <c r="G7" s="11">
        <v>0</v>
      </c>
      <c r="H7" s="11">
        <v>0</v>
      </c>
      <c r="I7" s="11">
        <v>0</v>
      </c>
      <c r="J7" s="11">
        <v>-343000</v>
      </c>
      <c r="K7" s="11">
        <v>0</v>
      </c>
      <c r="L7" s="11">
        <v>0</v>
      </c>
      <c r="M7" s="11">
        <v>-529279</v>
      </c>
      <c r="N7" s="44">
        <f>SUM(B7:M7)</f>
        <v>-1597088</v>
      </c>
      <c r="O7" s="12"/>
      <c r="P7" s="6">
        <v>-1069342.3799999999</v>
      </c>
      <c r="Q7" s="6">
        <f>+P7-9937.85-67760.25-529279.81</f>
        <v>-1676320.29</v>
      </c>
      <c r="R7" s="6">
        <v>-4800111.16</v>
      </c>
      <c r="S7" s="6">
        <v>-3364040.73</v>
      </c>
      <c r="T7" s="12">
        <v>-3452869.49</v>
      </c>
      <c r="V7" s="12">
        <f>AVERAGE(Q7:T7)</f>
        <v>-3323335.4175</v>
      </c>
    </row>
    <row r="8" spans="1:32" x14ac:dyDescent="0.2">
      <c r="A8" s="18" t="s">
        <v>79</v>
      </c>
      <c r="B8" s="11">
        <v>0</v>
      </c>
      <c r="C8" s="11">
        <v>-291666</v>
      </c>
      <c r="D8" s="11">
        <v>-291667</v>
      </c>
      <c r="E8" s="11">
        <v>-291666</v>
      </c>
      <c r="F8" s="11">
        <v>-291667</v>
      </c>
      <c r="G8" s="11">
        <v>-291667</v>
      </c>
      <c r="H8" s="11">
        <v>0</v>
      </c>
      <c r="I8" s="11">
        <v>-291667</v>
      </c>
      <c r="J8" s="11">
        <v>-291667</v>
      </c>
      <c r="K8" s="11">
        <v>-291667</v>
      </c>
      <c r="L8" s="11">
        <v>-291666</v>
      </c>
      <c r="M8" s="11">
        <v>-291666</v>
      </c>
      <c r="N8" s="44">
        <f>SUM(B8:M8)</f>
        <v>-2916666</v>
      </c>
      <c r="O8" s="12"/>
      <c r="P8" s="6">
        <v>-2041666.69</v>
      </c>
      <c r="Q8" s="6">
        <f>+P8-291667-291667</f>
        <v>-2625000.69</v>
      </c>
      <c r="R8" s="6">
        <v>0</v>
      </c>
      <c r="S8" s="6">
        <v>0</v>
      </c>
      <c r="T8" s="6">
        <v>0</v>
      </c>
      <c r="V8" s="12">
        <f t="shared" ref="V8:V9" si="0">AVERAGE(Q8:T8)</f>
        <v>-656250.17249999999</v>
      </c>
    </row>
    <row r="9" spans="1:32" x14ac:dyDescent="0.2">
      <c r="A9" s="10" t="s">
        <v>17</v>
      </c>
      <c r="B9" s="12">
        <v>5748</v>
      </c>
      <c r="C9" s="12">
        <v>5748</v>
      </c>
      <c r="D9" s="12">
        <v>5748</v>
      </c>
      <c r="E9" s="12">
        <v>5748</v>
      </c>
      <c r="F9" s="12">
        <v>5748</v>
      </c>
      <c r="G9" s="12">
        <v>5748</v>
      </c>
      <c r="H9" s="12">
        <f>70000+748</f>
        <v>70748</v>
      </c>
      <c r="I9" s="12">
        <v>5748</v>
      </c>
      <c r="J9" s="12">
        <v>5748</v>
      </c>
      <c r="K9" s="12">
        <v>5748</v>
      </c>
      <c r="L9" s="12">
        <v>5748</v>
      </c>
      <c r="M9" s="12">
        <v>5748</v>
      </c>
      <c r="N9" s="44">
        <f t="shared" ref="N9:N10" si="1">SUM(B9:M9)</f>
        <v>133976</v>
      </c>
      <c r="O9" s="6"/>
      <c r="P9" s="6">
        <f>280.3+65362.2+40763.88</f>
        <v>106406.38</v>
      </c>
      <c r="Q9" s="6">
        <f>+P9+5000+5000</f>
        <v>116406.38</v>
      </c>
      <c r="R9" s="6">
        <f>2581.18+62375.63+602.34+8047.5</f>
        <v>73606.649999999994</v>
      </c>
      <c r="S9" s="6">
        <v>90936.3</v>
      </c>
      <c r="T9" s="6">
        <v>83664.61</v>
      </c>
      <c r="V9" s="12">
        <f t="shared" si="0"/>
        <v>91153.485000000001</v>
      </c>
    </row>
    <row r="10" spans="1:32" x14ac:dyDescent="0.2">
      <c r="A10" s="10" t="s">
        <v>24</v>
      </c>
      <c r="B10" s="12">
        <v>291667</v>
      </c>
      <c r="C10" s="12">
        <v>291666</v>
      </c>
      <c r="D10" s="12">
        <v>291667</v>
      </c>
      <c r="E10" s="12">
        <v>291666</v>
      </c>
      <c r="F10" s="12">
        <v>291667</v>
      </c>
      <c r="G10" s="12">
        <v>291667</v>
      </c>
      <c r="H10" s="12">
        <v>291667</v>
      </c>
      <c r="I10" s="12">
        <v>291667</v>
      </c>
      <c r="J10" s="12">
        <v>291667</v>
      </c>
      <c r="K10" s="12">
        <v>291667</v>
      </c>
      <c r="L10" s="12">
        <v>291666</v>
      </c>
      <c r="M10" s="12">
        <v>291666</v>
      </c>
      <c r="N10" s="44">
        <f t="shared" si="1"/>
        <v>3500000</v>
      </c>
      <c r="O10" s="6"/>
      <c r="P10" s="6">
        <v>2916666.7</v>
      </c>
      <c r="Q10" s="6">
        <f>+(P10/10)*12</f>
        <v>3500000.0400000005</v>
      </c>
      <c r="R10" s="6">
        <v>3500000</v>
      </c>
      <c r="S10" s="6">
        <v>3500000</v>
      </c>
      <c r="T10" s="6">
        <v>3500000</v>
      </c>
      <c r="V10" s="6">
        <f>AVERAGE(Q10:T10)</f>
        <v>3500000.0100000002</v>
      </c>
    </row>
    <row r="11" spans="1:32" x14ac:dyDescent="0.2">
      <c r="A11" s="18" t="s">
        <v>71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8">
        <f t="shared" ref="N11:N12" si="2">SUM(B11:M11)</f>
        <v>0</v>
      </c>
      <c r="O11" s="6"/>
      <c r="P11" s="6">
        <v>1600</v>
      </c>
      <c r="Q11" s="6">
        <v>1600</v>
      </c>
      <c r="R11" s="6">
        <v>2400</v>
      </c>
      <c r="S11" s="6">
        <v>2400</v>
      </c>
      <c r="T11" s="6">
        <v>2400</v>
      </c>
      <c r="V11" s="6">
        <f t="shared" ref="V11" si="3">AVERAGE(Q11:T11)</f>
        <v>2200</v>
      </c>
    </row>
    <row r="12" spans="1:32" ht="15" x14ac:dyDescent="0.35">
      <c r="A12" s="10" t="s">
        <v>18</v>
      </c>
      <c r="B12" s="27">
        <f>+'Tax Revenue'!A28</f>
        <v>1924993.2517854045</v>
      </c>
      <c r="C12" s="27">
        <f>+'Tax Revenue'!B28</f>
        <v>246500.33295622776</v>
      </c>
      <c r="D12" s="27">
        <f>+'Tax Revenue'!C28</f>
        <v>150957.69301805442</v>
      </c>
      <c r="E12" s="27">
        <f>+'Tax Revenue'!D28</f>
        <v>189774.62163615625</v>
      </c>
      <c r="F12" s="27">
        <f>+'Tax Revenue'!E28</f>
        <v>78437.584428814444</v>
      </c>
      <c r="G12" s="27">
        <f>+'Tax Revenue'!F28</f>
        <v>21454.095402868505</v>
      </c>
      <c r="H12" s="27">
        <f>+'Tax Revenue'!G28</f>
        <v>14915.774282457938</v>
      </c>
      <c r="I12" s="27">
        <f>+'Tax Revenue'!H28</f>
        <v>21853.739360185078</v>
      </c>
      <c r="J12" s="27">
        <f>+'Tax Revenue'!I28</f>
        <v>12741.072770141702</v>
      </c>
      <c r="K12" s="27">
        <f>+'Tax Revenue'!J28</f>
        <v>7634.2054579570258</v>
      </c>
      <c r="L12" s="27">
        <f>+'Tax Revenue'!K28</f>
        <v>7505.6479621694652</v>
      </c>
      <c r="M12" s="27">
        <f>+'Tax Revenue'!L28</f>
        <v>4304.5109395629534</v>
      </c>
      <c r="N12" s="45">
        <f t="shared" si="2"/>
        <v>2681072.5299999998</v>
      </c>
      <c r="O12" s="27"/>
      <c r="P12" s="29">
        <v>2940273.86</v>
      </c>
      <c r="Q12" s="27">
        <f>+P12+23445+8050</f>
        <v>2971768.86</v>
      </c>
      <c r="R12" s="27">
        <v>2495471.13</v>
      </c>
      <c r="S12" s="27">
        <v>2650370.46</v>
      </c>
      <c r="T12" s="27">
        <v>2595943.86</v>
      </c>
      <c r="U12" s="4"/>
      <c r="V12" s="27">
        <f>AVERAGE(Q12:T12)</f>
        <v>2678388.5775000001</v>
      </c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1" customFormat="1" x14ac:dyDescent="0.2">
      <c r="A13" s="1" t="s">
        <v>19</v>
      </c>
      <c r="B13" s="39">
        <f t="shared" ref="B13:N13" si="4">SUM(B6:B12)</f>
        <v>2222408.2517854045</v>
      </c>
      <c r="C13" s="39">
        <f t="shared" si="4"/>
        <v>-63751.667043772235</v>
      </c>
      <c r="D13" s="39">
        <f t="shared" si="4"/>
        <v>156705.69301805442</v>
      </c>
      <c r="E13" s="39">
        <f t="shared" si="4"/>
        <v>195522.62163615625</v>
      </c>
      <c r="F13" s="39">
        <f t="shared" si="4"/>
        <v>-324623.41557118553</v>
      </c>
      <c r="G13" s="39">
        <f t="shared" si="4"/>
        <v>27202.095402868505</v>
      </c>
      <c r="H13" s="39">
        <f t="shared" si="4"/>
        <v>377330.77428245795</v>
      </c>
      <c r="I13" s="39">
        <f t="shared" si="4"/>
        <v>27601.739360185078</v>
      </c>
      <c r="J13" s="39">
        <f t="shared" si="4"/>
        <v>-324510.92722985829</v>
      </c>
      <c r="K13" s="39">
        <f t="shared" si="4"/>
        <v>13382.205457957025</v>
      </c>
      <c r="L13" s="39">
        <f t="shared" si="4"/>
        <v>13253.647962169465</v>
      </c>
      <c r="M13" s="39">
        <f t="shared" si="4"/>
        <v>-519226.48906043707</v>
      </c>
      <c r="N13" s="40">
        <f t="shared" si="4"/>
        <v>1801294.5299999998</v>
      </c>
      <c r="O13" s="40"/>
      <c r="P13" s="39">
        <f>SUM(P6:P12)</f>
        <v>2853937.87</v>
      </c>
      <c r="Q13" s="39">
        <f>SUM(Q6:Q12)</f>
        <v>2288454.2999999998</v>
      </c>
      <c r="R13" s="39">
        <f>SUM(R6:R12)</f>
        <v>1271366.6200000001</v>
      </c>
      <c r="S13" s="39">
        <f>SUM(S6:S12)</f>
        <v>2879666.03</v>
      </c>
      <c r="T13" s="39">
        <f>SUM(T6:T12)</f>
        <v>2729138.9799999995</v>
      </c>
      <c r="U13" s="41"/>
      <c r="V13" s="40">
        <f>SUM(V6:V12)</f>
        <v>2292156.4825000004</v>
      </c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spans="1:32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U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x14ac:dyDescent="0.2">
      <c r="A15" s="18" t="s">
        <v>64</v>
      </c>
      <c r="B15" s="4">
        <v>1325</v>
      </c>
      <c r="C15" s="4">
        <v>1325</v>
      </c>
      <c r="D15" s="4">
        <v>1325</v>
      </c>
      <c r="E15" s="4">
        <v>1325</v>
      </c>
      <c r="F15" s="4">
        <v>1325</v>
      </c>
      <c r="G15" s="4">
        <v>1325</v>
      </c>
      <c r="H15" s="4">
        <v>1325</v>
      </c>
      <c r="I15" s="4">
        <v>1325</v>
      </c>
      <c r="J15" s="4">
        <v>1325</v>
      </c>
      <c r="K15" s="4">
        <v>1325</v>
      </c>
      <c r="L15" s="4">
        <v>1325</v>
      </c>
      <c r="M15" s="4">
        <v>1325</v>
      </c>
      <c r="N15" s="3">
        <f t="shared" ref="N15:N32" si="5">SUM(B15:M15)</f>
        <v>15900</v>
      </c>
      <c r="O15" s="38"/>
      <c r="P15" s="38">
        <v>13185</v>
      </c>
      <c r="Q15" s="38">
        <f>+(P15/10)*12</f>
        <v>15822</v>
      </c>
      <c r="R15" s="38">
        <v>15060</v>
      </c>
      <c r="S15" s="38">
        <v>14400</v>
      </c>
      <c r="T15" s="38">
        <v>14400</v>
      </c>
      <c r="V15" s="38">
        <f t="shared" ref="V15" si="6">AVERAGE(Q15:T15)</f>
        <v>14920.5</v>
      </c>
      <c r="W15" s="1" t="s">
        <v>62</v>
      </c>
    </row>
    <row r="16" spans="1:32" ht="15" x14ac:dyDescent="0.35">
      <c r="A16" s="10" t="s">
        <v>20</v>
      </c>
      <c r="B16" s="26">
        <v>1182.5</v>
      </c>
      <c r="C16" s="26">
        <v>1182.5</v>
      </c>
      <c r="D16" s="26">
        <v>1182.5</v>
      </c>
      <c r="E16" s="26">
        <v>1182.5</v>
      </c>
      <c r="F16" s="26">
        <v>1182.5</v>
      </c>
      <c r="G16" s="26">
        <v>1182.5</v>
      </c>
      <c r="H16" s="26">
        <v>1182.5</v>
      </c>
      <c r="I16" s="26">
        <v>1182.5</v>
      </c>
      <c r="J16" s="26">
        <v>1182.5</v>
      </c>
      <c r="K16" s="26">
        <v>1182.5</v>
      </c>
      <c r="L16" s="26">
        <v>1182.5</v>
      </c>
      <c r="M16" s="26">
        <v>1182.5</v>
      </c>
      <c r="N16" s="16">
        <f t="shared" si="5"/>
        <v>14190</v>
      </c>
      <c r="O16" s="29"/>
      <c r="P16" s="29">
        <v>12258.3</v>
      </c>
      <c r="Q16" s="29">
        <f>+(P16/10)*12</f>
        <v>14709.96</v>
      </c>
      <c r="R16" s="29">
        <v>14190</v>
      </c>
      <c r="S16" s="29">
        <v>13387.8</v>
      </c>
      <c r="T16" s="29">
        <v>12071.16</v>
      </c>
      <c r="V16" s="29">
        <f>AVERAGE(Q16:T16)</f>
        <v>13589.73</v>
      </c>
    </row>
    <row r="17" spans="1:22" s="1" customFormat="1" x14ac:dyDescent="0.2">
      <c r="A17" s="1" t="s">
        <v>21</v>
      </c>
      <c r="B17" s="28">
        <f>+B15+B16</f>
        <v>2507.5</v>
      </c>
      <c r="C17" s="28">
        <f t="shared" ref="C17:M17" si="7">+C15+C16</f>
        <v>2507.5</v>
      </c>
      <c r="D17" s="28">
        <f t="shared" si="7"/>
        <v>2507.5</v>
      </c>
      <c r="E17" s="28">
        <f t="shared" si="7"/>
        <v>2507.5</v>
      </c>
      <c r="F17" s="28">
        <f t="shared" si="7"/>
        <v>2507.5</v>
      </c>
      <c r="G17" s="28">
        <f t="shared" si="7"/>
        <v>2507.5</v>
      </c>
      <c r="H17" s="28">
        <f t="shared" si="7"/>
        <v>2507.5</v>
      </c>
      <c r="I17" s="28">
        <f t="shared" si="7"/>
        <v>2507.5</v>
      </c>
      <c r="J17" s="28">
        <f t="shared" si="7"/>
        <v>2507.5</v>
      </c>
      <c r="K17" s="28">
        <f t="shared" si="7"/>
        <v>2507.5</v>
      </c>
      <c r="L17" s="28">
        <f t="shared" si="7"/>
        <v>2507.5</v>
      </c>
      <c r="M17" s="28">
        <f t="shared" si="7"/>
        <v>2507.5</v>
      </c>
      <c r="N17" s="28">
        <f>+N15+N16</f>
        <v>30090</v>
      </c>
      <c r="O17" s="28"/>
      <c r="P17" s="28">
        <f>SUM(P15:P16)</f>
        <v>25443.3</v>
      </c>
      <c r="Q17" s="28">
        <f>SUM(Q15:Q16)</f>
        <v>30531.96</v>
      </c>
      <c r="R17" s="28">
        <f>SUM(R15:R16)</f>
        <v>29250</v>
      </c>
      <c r="S17" s="28">
        <f>SUM(S15:S16)</f>
        <v>27787.8</v>
      </c>
      <c r="T17" s="28">
        <f>SUM(T15:T16)</f>
        <v>26471.16</v>
      </c>
      <c r="V17" s="28">
        <f>SUM(V15:V16)</f>
        <v>28510.23</v>
      </c>
    </row>
    <row r="18" spans="1:22" x14ac:dyDescent="0.2">
      <c r="A18" s="15" t="s">
        <v>25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14035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3">
        <f t="shared" si="5"/>
        <v>14035</v>
      </c>
      <c r="O18" s="38"/>
      <c r="P18" s="38">
        <v>14995</v>
      </c>
      <c r="Q18" s="38">
        <f>+P18</f>
        <v>14995</v>
      </c>
      <c r="R18" s="38">
        <v>14035</v>
      </c>
      <c r="S18" s="38">
        <v>13350</v>
      </c>
      <c r="T18" s="38">
        <v>13750</v>
      </c>
      <c r="V18" s="38">
        <f t="shared" ref="V18:V32" si="8">AVERAGE(Q18:T18)</f>
        <v>14032.5</v>
      </c>
    </row>
    <row r="19" spans="1:22" x14ac:dyDescent="0.2">
      <c r="A19" s="42" t="s">
        <v>54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3">
        <f t="shared" si="5"/>
        <v>0</v>
      </c>
      <c r="O19" s="38"/>
      <c r="P19" s="38">
        <v>0</v>
      </c>
      <c r="Q19" s="38">
        <f>+P19</f>
        <v>0</v>
      </c>
      <c r="R19" s="38">
        <v>480</v>
      </c>
      <c r="S19" s="38">
        <v>0</v>
      </c>
      <c r="T19" s="38">
        <v>300</v>
      </c>
      <c r="V19" s="38">
        <f t="shared" si="8"/>
        <v>195</v>
      </c>
    </row>
    <row r="20" spans="1:22" x14ac:dyDescent="0.2">
      <c r="A20" s="15" t="s">
        <v>32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10000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3">
        <f t="shared" si="5"/>
        <v>10000</v>
      </c>
      <c r="O20" s="38"/>
      <c r="P20" s="38">
        <v>0</v>
      </c>
      <c r="Q20" s="38">
        <f>+P20</f>
        <v>0</v>
      </c>
      <c r="R20" s="38">
        <v>11246.35</v>
      </c>
      <c r="S20" s="38">
        <v>0</v>
      </c>
      <c r="T20" s="38">
        <v>0</v>
      </c>
      <c r="V20" s="38">
        <f t="shared" si="8"/>
        <v>2811.5875000000001</v>
      </c>
    </row>
    <row r="21" spans="1:22" x14ac:dyDescent="0.2">
      <c r="A21" s="15" t="s">
        <v>26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3">
        <f t="shared" si="5"/>
        <v>0</v>
      </c>
      <c r="O21" s="38"/>
      <c r="P21" s="38">
        <v>0</v>
      </c>
      <c r="Q21" s="38">
        <f>+P21</f>
        <v>0</v>
      </c>
      <c r="R21" s="38">
        <v>0</v>
      </c>
      <c r="S21" s="38">
        <v>0</v>
      </c>
      <c r="T21" s="38">
        <v>0</v>
      </c>
      <c r="V21" s="38">
        <f t="shared" si="8"/>
        <v>0</v>
      </c>
    </row>
    <row r="22" spans="1:22" x14ac:dyDescent="0.2">
      <c r="A22" s="15" t="s">
        <v>28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7500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3">
        <f t="shared" si="5"/>
        <v>7500</v>
      </c>
      <c r="O22" s="38"/>
      <c r="P22" s="38">
        <v>10889.98</v>
      </c>
      <c r="Q22" s="38">
        <f>+P22</f>
        <v>10889.98</v>
      </c>
      <c r="R22" s="38">
        <v>1950.73</v>
      </c>
      <c r="S22" s="38">
        <v>2297.34</v>
      </c>
      <c r="T22" s="38">
        <v>0</v>
      </c>
      <c r="V22" s="38">
        <f t="shared" si="8"/>
        <v>3784.5124999999998</v>
      </c>
    </row>
    <row r="23" spans="1:22" x14ac:dyDescent="0.2">
      <c r="A23" s="42" t="s">
        <v>81</v>
      </c>
      <c r="B23" s="4">
        <v>2500</v>
      </c>
      <c r="C23" s="4">
        <v>2500</v>
      </c>
      <c r="D23" s="4">
        <v>2500</v>
      </c>
      <c r="E23" s="4">
        <v>2500</v>
      </c>
      <c r="F23" s="4">
        <v>2500</v>
      </c>
      <c r="G23" s="4">
        <v>2500</v>
      </c>
      <c r="H23" s="4">
        <v>2500</v>
      </c>
      <c r="I23" s="4">
        <v>2500</v>
      </c>
      <c r="J23" s="4">
        <v>2500</v>
      </c>
      <c r="K23" s="4">
        <v>2500</v>
      </c>
      <c r="L23" s="4">
        <v>2500</v>
      </c>
      <c r="M23" s="4">
        <v>2500</v>
      </c>
      <c r="N23" s="3">
        <f t="shared" si="5"/>
        <v>30000</v>
      </c>
      <c r="O23" s="38"/>
      <c r="P23" s="38">
        <v>5000</v>
      </c>
      <c r="Q23" s="38">
        <f>+P23+2500+2500</f>
        <v>10000</v>
      </c>
      <c r="R23" s="38"/>
      <c r="S23" s="38"/>
      <c r="T23" s="38"/>
      <c r="V23" s="38"/>
    </row>
    <row r="24" spans="1:22" x14ac:dyDescent="0.2">
      <c r="A24" s="15" t="s">
        <v>29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  <c r="N24" s="3">
        <f t="shared" si="5"/>
        <v>1200</v>
      </c>
      <c r="O24" s="38"/>
      <c r="P24" s="38">
        <v>0</v>
      </c>
      <c r="Q24" s="38">
        <v>0</v>
      </c>
      <c r="R24" s="38">
        <v>0</v>
      </c>
      <c r="S24" s="38">
        <v>6875</v>
      </c>
      <c r="T24" s="38">
        <v>18825</v>
      </c>
      <c r="V24" s="38">
        <f t="shared" si="8"/>
        <v>6425</v>
      </c>
    </row>
    <row r="25" spans="1:22" x14ac:dyDescent="0.2">
      <c r="A25" s="15" t="s">
        <v>27</v>
      </c>
      <c r="B25" s="4">
        <f>+InterestExp!F6</f>
        <v>75876</v>
      </c>
      <c r="C25" s="4">
        <f>+InterestExp!F7</f>
        <v>73427</v>
      </c>
      <c r="D25" s="4">
        <f>+InterestExp!F8</f>
        <v>75874</v>
      </c>
      <c r="E25" s="4">
        <f>+InterestExp!F9</f>
        <v>75875</v>
      </c>
      <c r="F25" s="4">
        <f>+InterestExp!F10</f>
        <v>31818</v>
      </c>
      <c r="G25" s="4">
        <f>+InterestExp!F11</f>
        <v>78323</v>
      </c>
      <c r="H25" s="4">
        <f>+InterestExp!F12</f>
        <v>73427</v>
      </c>
      <c r="I25" s="4">
        <f>+InterestExp!F13</f>
        <v>75874</v>
      </c>
      <c r="J25" s="4">
        <f>+InterestExp!F14</f>
        <v>73428</v>
      </c>
      <c r="K25" s="4">
        <f>+InterestExp!F15</f>
        <v>75874</v>
      </c>
      <c r="L25" s="4">
        <f>+InterestExp!F16</f>
        <v>37586</v>
      </c>
      <c r="M25" s="4">
        <f>+InterestExp!F17</f>
        <v>70475</v>
      </c>
      <c r="N25" s="3">
        <f t="shared" si="5"/>
        <v>817857</v>
      </c>
      <c r="O25" s="38"/>
      <c r="P25" s="38">
        <v>769595</v>
      </c>
      <c r="Q25" s="38">
        <f t="shared" ref="Q25" si="9">+(P25/10)*12</f>
        <v>923514</v>
      </c>
      <c r="R25" s="38">
        <v>954434</v>
      </c>
      <c r="S25" s="38">
        <v>992497</v>
      </c>
      <c r="T25" s="38">
        <v>1077142.1100000001</v>
      </c>
      <c r="V25" s="38">
        <f t="shared" si="8"/>
        <v>986896.77750000008</v>
      </c>
    </row>
    <row r="26" spans="1:22" x14ac:dyDescent="0.2">
      <c r="A26" s="42" t="s">
        <v>56</v>
      </c>
      <c r="B26" s="4">
        <v>0</v>
      </c>
      <c r="C26" s="4">
        <v>0</v>
      </c>
      <c r="D26" s="4">
        <v>0</v>
      </c>
      <c r="E26" s="4">
        <v>0</v>
      </c>
      <c r="F26" s="4">
        <v>50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3">
        <f t="shared" si="5"/>
        <v>50</v>
      </c>
      <c r="O26" s="38"/>
      <c r="P26" s="38">
        <f>137.46+140</f>
        <v>277.46000000000004</v>
      </c>
      <c r="Q26" s="38">
        <f>+P26</f>
        <v>277.46000000000004</v>
      </c>
      <c r="R26" s="38">
        <v>0</v>
      </c>
      <c r="S26" s="38">
        <v>52.75</v>
      </c>
      <c r="T26" s="38">
        <v>27</v>
      </c>
      <c r="V26" s="38">
        <f t="shared" si="8"/>
        <v>89.302500000000009</v>
      </c>
    </row>
    <row r="27" spans="1:22" x14ac:dyDescent="0.2">
      <c r="A27" s="42" t="s">
        <v>57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3">
        <f t="shared" si="5"/>
        <v>0</v>
      </c>
      <c r="O27" s="38"/>
      <c r="P27" s="38">
        <v>4665</v>
      </c>
      <c r="Q27" s="38">
        <f>+P27</f>
        <v>4665</v>
      </c>
      <c r="R27" s="38">
        <v>0</v>
      </c>
      <c r="S27" s="38">
        <v>0</v>
      </c>
      <c r="T27" s="38">
        <v>0</v>
      </c>
      <c r="V27" s="38">
        <f>AVERAGE(Q27:T27)</f>
        <v>1166.25</v>
      </c>
    </row>
    <row r="28" spans="1:22" x14ac:dyDescent="0.2">
      <c r="A28" s="42" t="s">
        <v>58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3">
        <f t="shared" si="5"/>
        <v>0</v>
      </c>
      <c r="O28" s="38"/>
      <c r="P28" s="38">
        <v>0</v>
      </c>
      <c r="Q28" s="38">
        <f>+(P28/10)*12</f>
        <v>0</v>
      </c>
      <c r="R28" s="38">
        <v>0</v>
      </c>
      <c r="S28" s="38">
        <v>0</v>
      </c>
      <c r="T28" s="38">
        <v>0</v>
      </c>
      <c r="V28" s="38">
        <f t="shared" si="8"/>
        <v>0</v>
      </c>
    </row>
    <row r="29" spans="1:22" x14ac:dyDescent="0.2">
      <c r="A29" s="42" t="s">
        <v>60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3">
        <f t="shared" si="5"/>
        <v>0</v>
      </c>
      <c r="O29" s="38"/>
      <c r="P29" s="38">
        <v>0</v>
      </c>
      <c r="Q29" s="38">
        <f>+(P29/10)*12</f>
        <v>0</v>
      </c>
      <c r="R29" s="38">
        <v>0</v>
      </c>
      <c r="S29" s="38">
        <v>0</v>
      </c>
      <c r="T29" s="38">
        <v>0</v>
      </c>
      <c r="V29" s="38">
        <f t="shared" si="8"/>
        <v>0</v>
      </c>
    </row>
    <row r="30" spans="1:22" x14ac:dyDescent="0.2">
      <c r="A30" s="15" t="s">
        <v>30</v>
      </c>
      <c r="B30" s="6">
        <f>+Depreciation!G11</f>
        <v>60571.144166666665</v>
      </c>
      <c r="C30" s="6">
        <f>+B30</f>
        <v>60571.144166666665</v>
      </c>
      <c r="D30" s="6">
        <f t="shared" ref="D30:M30" si="10">+C30</f>
        <v>60571.144166666665</v>
      </c>
      <c r="E30" s="6">
        <f t="shared" si="10"/>
        <v>60571.144166666665</v>
      </c>
      <c r="F30" s="6">
        <f t="shared" si="10"/>
        <v>60571.144166666665</v>
      </c>
      <c r="G30" s="6">
        <f t="shared" si="10"/>
        <v>60571.144166666665</v>
      </c>
      <c r="H30" s="6">
        <f t="shared" si="10"/>
        <v>60571.144166666665</v>
      </c>
      <c r="I30" s="6">
        <f t="shared" si="10"/>
        <v>60571.144166666665</v>
      </c>
      <c r="J30" s="6">
        <f t="shared" si="10"/>
        <v>60571.144166666665</v>
      </c>
      <c r="K30" s="6">
        <f t="shared" si="10"/>
        <v>60571.144166666665</v>
      </c>
      <c r="L30" s="6">
        <f t="shared" si="10"/>
        <v>60571.144166666665</v>
      </c>
      <c r="M30" s="6">
        <f t="shared" si="10"/>
        <v>60571.144166666665</v>
      </c>
      <c r="N30" s="3">
        <f t="shared" si="5"/>
        <v>726853.73</v>
      </c>
      <c r="O30" s="38"/>
      <c r="P30" s="38">
        <v>606153</v>
      </c>
      <c r="Q30" s="38">
        <f>+(P30/10)*12</f>
        <v>727383.60000000009</v>
      </c>
      <c r="R30" s="38">
        <v>734268</v>
      </c>
      <c r="S30" s="38">
        <v>1213208.3600000001</v>
      </c>
      <c r="T30" s="38">
        <v>1235654.28</v>
      </c>
      <c r="V30" s="38">
        <f t="shared" si="8"/>
        <v>977628.56</v>
      </c>
    </row>
    <row r="31" spans="1:22" x14ac:dyDescent="0.2">
      <c r="A31" s="42" t="s">
        <v>61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3">
        <f t="shared" si="5"/>
        <v>0</v>
      </c>
      <c r="O31" s="38"/>
      <c r="P31" s="38">
        <f>30376.49+2223.28</f>
        <v>32599.77</v>
      </c>
      <c r="Q31" s="38">
        <f>+P31</f>
        <v>32599.77</v>
      </c>
      <c r="R31" s="38">
        <v>51522.74</v>
      </c>
      <c r="S31" s="38">
        <v>0</v>
      </c>
      <c r="T31" s="38">
        <v>215</v>
      </c>
      <c r="V31" s="38">
        <f t="shared" si="8"/>
        <v>21084.377499999999</v>
      </c>
    </row>
    <row r="32" spans="1:22" ht="15" x14ac:dyDescent="0.35">
      <c r="A32" s="15" t="s">
        <v>31</v>
      </c>
      <c r="B32" s="26">
        <f>+'Appraisal Fees'!$B$4/12</f>
        <v>4576.0491666666667</v>
      </c>
      <c r="C32" s="26">
        <f>+'Appraisal Fees'!$B$4/12</f>
        <v>4576.0491666666667</v>
      </c>
      <c r="D32" s="26">
        <f>+'Appraisal Fees'!$B$4/12</f>
        <v>4576.0491666666667</v>
      </c>
      <c r="E32" s="26">
        <f>+'Appraisal Fees'!$B$4/12</f>
        <v>4576.0491666666667</v>
      </c>
      <c r="F32" s="26">
        <f>+'Appraisal Fees'!$B$4/12</f>
        <v>4576.0491666666667</v>
      </c>
      <c r="G32" s="26">
        <f>+'Appraisal Fees'!$B$4/12</f>
        <v>4576.0491666666667</v>
      </c>
      <c r="H32" s="26">
        <f>+'Appraisal Fees'!$B$4/12</f>
        <v>4576.0491666666667</v>
      </c>
      <c r="I32" s="26">
        <f>+'Appraisal Fees'!$B$4/12</f>
        <v>4576.0491666666667</v>
      </c>
      <c r="J32" s="26">
        <f>+'Appraisal Fees'!$B$4/12</f>
        <v>4576.0491666666667</v>
      </c>
      <c r="K32" s="26">
        <f>+'Appraisal Fees'!$B$4/12</f>
        <v>4576.0491666666667</v>
      </c>
      <c r="L32" s="26">
        <f>+'Appraisal Fees'!$B$4/12</f>
        <v>4576.0491666666667</v>
      </c>
      <c r="M32" s="26">
        <f>+'Appraisal Fees'!$B$4/12</f>
        <v>4576.0491666666667</v>
      </c>
      <c r="N32" s="16">
        <f t="shared" si="5"/>
        <v>54912.589999999989</v>
      </c>
      <c r="O32" s="29"/>
      <c r="P32" s="29">
        <v>36825.589999999997</v>
      </c>
      <c r="Q32" s="29">
        <f>+(P32/10)*12</f>
        <v>44190.707999999999</v>
      </c>
      <c r="R32" s="29">
        <v>40564.22</v>
      </c>
      <c r="S32" s="29">
        <v>39159.39</v>
      </c>
      <c r="T32" s="29">
        <v>37561.050000000003</v>
      </c>
      <c r="V32" s="29">
        <f t="shared" si="8"/>
        <v>40368.842000000004</v>
      </c>
    </row>
    <row r="33" spans="1:22" s="1" customFormat="1" x14ac:dyDescent="0.2">
      <c r="A33" s="1" t="s">
        <v>22</v>
      </c>
      <c r="B33" s="28">
        <f>SUM(B18:B32)</f>
        <v>143623.19333333333</v>
      </c>
      <c r="C33" s="28">
        <f t="shared" ref="C33:N33" si="11">SUM(C18:C32)</f>
        <v>141174.19333333333</v>
      </c>
      <c r="D33" s="28">
        <f t="shared" si="11"/>
        <v>143621.19333333333</v>
      </c>
      <c r="E33" s="28">
        <f t="shared" si="11"/>
        <v>143622.19333333333</v>
      </c>
      <c r="F33" s="28">
        <f t="shared" si="11"/>
        <v>99615.193333333329</v>
      </c>
      <c r="G33" s="28">
        <f t="shared" si="11"/>
        <v>146070.19333333333</v>
      </c>
      <c r="H33" s="28">
        <f t="shared" si="11"/>
        <v>172709.19333333333</v>
      </c>
      <c r="I33" s="28">
        <f t="shared" si="11"/>
        <v>143621.19333333333</v>
      </c>
      <c r="J33" s="28">
        <f t="shared" si="11"/>
        <v>141175.19333333333</v>
      </c>
      <c r="K33" s="28">
        <f t="shared" si="11"/>
        <v>143621.19333333333</v>
      </c>
      <c r="L33" s="28">
        <f t="shared" si="11"/>
        <v>105333.19333333333</v>
      </c>
      <c r="M33" s="28">
        <f t="shared" si="11"/>
        <v>138222.19333333333</v>
      </c>
      <c r="N33" s="28">
        <f t="shared" si="11"/>
        <v>1662408.32</v>
      </c>
      <c r="O33" s="28"/>
      <c r="P33" s="28">
        <f>SUM(P18:P32)</f>
        <v>1481000.8</v>
      </c>
      <c r="Q33" s="28">
        <f>SUM(Q18:Q32)</f>
        <v>1768515.5180000002</v>
      </c>
      <c r="R33" s="28">
        <f>SUM(R18:R32)</f>
        <v>1808501.04</v>
      </c>
      <c r="S33" s="28">
        <f>SUM(S18:S32)</f>
        <v>2267439.8400000003</v>
      </c>
      <c r="T33" s="28">
        <f>SUM(T18:T32)</f>
        <v>2383474.44</v>
      </c>
      <c r="V33" s="28">
        <f>SUM(V18:V32)</f>
        <v>2054482.7095000001</v>
      </c>
    </row>
    <row r="34" spans="1:22" x14ac:dyDescent="0.2">
      <c r="B34" s="5" t="s">
        <v>14</v>
      </c>
      <c r="C34" s="5" t="s">
        <v>14</v>
      </c>
      <c r="D34" s="5" t="s">
        <v>14</v>
      </c>
      <c r="E34" s="5" t="s">
        <v>14</v>
      </c>
      <c r="F34" s="5" t="s">
        <v>14</v>
      </c>
      <c r="G34" s="5" t="s">
        <v>14</v>
      </c>
      <c r="H34" s="5" t="s">
        <v>14</v>
      </c>
      <c r="I34" s="5" t="s">
        <v>14</v>
      </c>
      <c r="J34" s="5" t="s">
        <v>14</v>
      </c>
      <c r="K34" s="5" t="s">
        <v>14</v>
      </c>
      <c r="L34" s="5" t="s">
        <v>14</v>
      </c>
      <c r="M34" s="5" t="s">
        <v>14</v>
      </c>
      <c r="N34" s="43" t="s">
        <v>14</v>
      </c>
      <c r="O34" s="5"/>
      <c r="P34" s="5" t="s">
        <v>14</v>
      </c>
      <c r="Q34" s="5" t="s">
        <v>14</v>
      </c>
      <c r="R34" s="5" t="s">
        <v>14</v>
      </c>
      <c r="S34" s="5" t="s">
        <v>14</v>
      </c>
      <c r="T34" s="5" t="s">
        <v>14</v>
      </c>
      <c r="V34" s="5" t="s">
        <v>14</v>
      </c>
    </row>
    <row r="35" spans="1:22" s="1" customFormat="1" x14ac:dyDescent="0.2">
      <c r="A35" s="1" t="s">
        <v>16</v>
      </c>
      <c r="B35" s="28">
        <f>SUM(B17+B33)</f>
        <v>146130.69333333333</v>
      </c>
      <c r="C35" s="28">
        <f t="shared" ref="C35:N35" si="12">SUM(C17+C33)</f>
        <v>143681.69333333333</v>
      </c>
      <c r="D35" s="28">
        <f t="shared" si="12"/>
        <v>146128.69333333333</v>
      </c>
      <c r="E35" s="28">
        <f t="shared" si="12"/>
        <v>146129.69333333333</v>
      </c>
      <c r="F35" s="28">
        <f t="shared" si="12"/>
        <v>102122.69333333333</v>
      </c>
      <c r="G35" s="28">
        <f t="shared" si="12"/>
        <v>148577.69333333333</v>
      </c>
      <c r="H35" s="28">
        <f t="shared" si="12"/>
        <v>175216.69333333333</v>
      </c>
      <c r="I35" s="28">
        <f t="shared" si="12"/>
        <v>146128.69333333333</v>
      </c>
      <c r="J35" s="28">
        <f t="shared" si="12"/>
        <v>143682.69333333333</v>
      </c>
      <c r="K35" s="28">
        <f t="shared" si="12"/>
        <v>146128.69333333333</v>
      </c>
      <c r="L35" s="28">
        <f t="shared" si="12"/>
        <v>107840.69333333333</v>
      </c>
      <c r="M35" s="28">
        <f t="shared" si="12"/>
        <v>140729.69333333333</v>
      </c>
      <c r="N35" s="28">
        <f t="shared" si="12"/>
        <v>1692498.32</v>
      </c>
      <c r="O35" s="28"/>
      <c r="P35" s="28">
        <f>SUM(P17+P33)</f>
        <v>1506444.1</v>
      </c>
      <c r="Q35" s="28">
        <f>SUM(Q17+Q33)</f>
        <v>1799047.4780000001</v>
      </c>
      <c r="R35" s="28">
        <f>SUM(R17+R33)</f>
        <v>1837751.04</v>
      </c>
      <c r="S35" s="28">
        <f>SUM(S17+S33)</f>
        <v>2295227.64</v>
      </c>
      <c r="T35" s="28">
        <f>SUM(T17+T33)</f>
        <v>2409945.6</v>
      </c>
      <c r="V35" s="28">
        <f>SUM(V17+V33)</f>
        <v>2082992.9395000001</v>
      </c>
    </row>
    <row r="36" spans="1:22" x14ac:dyDescent="0.2">
      <c r="B36" s="5" t="s">
        <v>14</v>
      </c>
      <c r="C36" s="5" t="s">
        <v>14</v>
      </c>
      <c r="D36" s="5" t="s">
        <v>14</v>
      </c>
      <c r="E36" s="5" t="s">
        <v>14</v>
      </c>
      <c r="F36" s="5" t="s">
        <v>14</v>
      </c>
      <c r="G36" s="5" t="s">
        <v>14</v>
      </c>
      <c r="H36" s="5" t="s">
        <v>14</v>
      </c>
      <c r="I36" s="5" t="s">
        <v>14</v>
      </c>
      <c r="J36" s="5" t="s">
        <v>14</v>
      </c>
      <c r="K36" s="5" t="s">
        <v>14</v>
      </c>
      <c r="L36" s="5" t="s">
        <v>14</v>
      </c>
      <c r="M36" s="5" t="s">
        <v>14</v>
      </c>
      <c r="N36" s="43" t="s">
        <v>14</v>
      </c>
      <c r="O36" s="5"/>
      <c r="P36" s="5" t="s">
        <v>14</v>
      </c>
      <c r="Q36" s="5" t="s">
        <v>14</v>
      </c>
      <c r="R36" s="5" t="s">
        <v>14</v>
      </c>
      <c r="S36" s="5" t="s">
        <v>14</v>
      </c>
      <c r="T36" s="5" t="s">
        <v>14</v>
      </c>
      <c r="V36" s="5" t="s">
        <v>14</v>
      </c>
    </row>
    <row r="37" spans="1:22" s="1" customFormat="1" x14ac:dyDescent="0.2">
      <c r="A37" s="1" t="s">
        <v>13</v>
      </c>
      <c r="B37" s="28">
        <f t="shared" ref="B37:N37" si="13">+B13-B35</f>
        <v>2076277.5584520712</v>
      </c>
      <c r="C37" s="28">
        <f t="shared" si="13"/>
        <v>-207433.36037710556</v>
      </c>
      <c r="D37" s="28">
        <f t="shared" si="13"/>
        <v>10576.999684721086</v>
      </c>
      <c r="E37" s="28">
        <f t="shared" si="13"/>
        <v>49392.928302822926</v>
      </c>
      <c r="F37" s="28">
        <f t="shared" si="13"/>
        <v>-426746.10890451889</v>
      </c>
      <c r="G37" s="28">
        <f t="shared" si="13"/>
        <v>-121375.59793046482</v>
      </c>
      <c r="H37" s="28">
        <f t="shared" si="13"/>
        <v>202114.08094912462</v>
      </c>
      <c r="I37" s="28">
        <f t="shared" si="13"/>
        <v>-118526.95397314825</v>
      </c>
      <c r="J37" s="28">
        <f t="shared" si="13"/>
        <v>-468193.62056319159</v>
      </c>
      <c r="K37" s="28">
        <f t="shared" si="13"/>
        <v>-132746.4878753763</v>
      </c>
      <c r="L37" s="28">
        <f t="shared" si="13"/>
        <v>-94587.045371163869</v>
      </c>
      <c r="M37" s="28">
        <f t="shared" si="13"/>
        <v>-659956.18239377043</v>
      </c>
      <c r="N37" s="28">
        <f t="shared" si="13"/>
        <v>108796.20999999973</v>
      </c>
      <c r="O37" s="28"/>
      <c r="P37" s="28">
        <f>+P13-P35</f>
        <v>1347493.77</v>
      </c>
      <c r="Q37" s="28">
        <f>+Q13-Q35</f>
        <v>489406.82199999969</v>
      </c>
      <c r="R37" s="28">
        <f>+R13-R35</f>
        <v>-566384.41999999993</v>
      </c>
      <c r="S37" s="28">
        <f>+S13-S35</f>
        <v>584438.38999999966</v>
      </c>
      <c r="T37" s="28">
        <f>+T13-T35</f>
        <v>319193.37999999942</v>
      </c>
      <c r="V37" s="28">
        <f>+V13-V35</f>
        <v>209163.5430000003</v>
      </c>
    </row>
    <row r="38" spans="1:22" x14ac:dyDescent="0.2">
      <c r="B38" s="2"/>
      <c r="C38" s="2"/>
      <c r="D38" s="2"/>
      <c r="E38" s="2"/>
      <c r="F38" s="2"/>
      <c r="G38" s="2"/>
      <c r="H38" s="2"/>
      <c r="I38" s="2"/>
      <c r="J38" s="4"/>
      <c r="K38" s="4"/>
      <c r="L38" s="4"/>
      <c r="M38" s="4"/>
    </row>
    <row r="39" spans="1:22" x14ac:dyDescent="0.2">
      <c r="P39" s="6"/>
      <c r="R39" s="6"/>
      <c r="S39" s="19"/>
      <c r="T39" s="19"/>
    </row>
    <row r="40" spans="1:22" x14ac:dyDescent="0.2">
      <c r="B40" s="2"/>
      <c r="C40" s="2"/>
      <c r="D40" s="2"/>
      <c r="E40" s="2"/>
      <c r="F40" s="2"/>
      <c r="G40" s="2"/>
      <c r="H40" s="2"/>
      <c r="I40" s="2"/>
      <c r="J40" s="4"/>
      <c r="K40" s="4"/>
      <c r="L40" s="4"/>
      <c r="M40" s="4"/>
      <c r="R40" s="6"/>
    </row>
  </sheetData>
  <pageMargins left="0.7" right="0.7" top="0.75" bottom="0.75" header="0.3" footer="0.3"/>
  <pageSetup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8E0B-04B8-4D59-BBB7-4C56A53985F7}">
  <sheetPr>
    <pageSetUpPr fitToPage="1"/>
  </sheetPr>
  <dimension ref="A1:E38"/>
  <sheetViews>
    <sheetView workbookViewId="0">
      <selection activeCell="B10" sqref="B10"/>
    </sheetView>
  </sheetViews>
  <sheetFormatPr defaultRowHeight="12.75" x14ac:dyDescent="0.2"/>
  <cols>
    <col min="1" max="1" width="33.140625" bestFit="1" customWidth="1"/>
    <col min="2" max="3" width="20.140625" bestFit="1" customWidth="1"/>
    <col min="4" max="4" width="1.85546875" customWidth="1"/>
    <col min="5" max="5" width="19.140625" bestFit="1" customWidth="1"/>
  </cols>
  <sheetData>
    <row r="1" spans="1:5" x14ac:dyDescent="0.2">
      <c r="A1" s="1" t="s">
        <v>15</v>
      </c>
    </row>
    <row r="2" spans="1:5" x14ac:dyDescent="0.2">
      <c r="A2" s="1" t="s">
        <v>78</v>
      </c>
    </row>
    <row r="3" spans="1:5" x14ac:dyDescent="0.2">
      <c r="A3" s="1" t="s">
        <v>72</v>
      </c>
    </row>
    <row r="4" spans="1:5" x14ac:dyDescent="0.2">
      <c r="A4" s="18"/>
    </row>
    <row r="5" spans="1:5" x14ac:dyDescent="0.2">
      <c r="B5" s="13" t="s">
        <v>73</v>
      </c>
      <c r="C5" s="13" t="s">
        <v>74</v>
      </c>
      <c r="E5" s="1" t="s">
        <v>75</v>
      </c>
    </row>
    <row r="6" spans="1:5" x14ac:dyDescent="0.2">
      <c r="B6" s="14">
        <v>2024</v>
      </c>
      <c r="C6" s="14">
        <v>2023</v>
      </c>
    </row>
    <row r="7" spans="1:5" x14ac:dyDescent="0.2">
      <c r="A7" s="10"/>
      <c r="B7" s="12"/>
      <c r="C7" s="12"/>
    </row>
    <row r="8" spans="1:5" x14ac:dyDescent="0.2">
      <c r="A8" s="10" t="s">
        <v>23</v>
      </c>
      <c r="B8" s="44">
        <f>+'2024 HCHD Budget'!N7</f>
        <v>-1597088</v>
      </c>
      <c r="C8" s="44">
        <v>-1336291</v>
      </c>
      <c r="E8" s="44">
        <f>+B8-C8</f>
        <v>-260797</v>
      </c>
    </row>
    <row r="9" spans="1:5" x14ac:dyDescent="0.2">
      <c r="A9" s="18" t="s">
        <v>79</v>
      </c>
      <c r="B9" s="44">
        <f>+'2024 HCHD Budget'!N8</f>
        <v>-2916666</v>
      </c>
      <c r="C9" s="44">
        <v>0</v>
      </c>
      <c r="E9" s="44"/>
    </row>
    <row r="10" spans="1:5" x14ac:dyDescent="0.2">
      <c r="A10" s="10" t="s">
        <v>17</v>
      </c>
      <c r="B10" s="3">
        <f>+'2024 HCHD Budget'!N9</f>
        <v>133976</v>
      </c>
      <c r="C10" s="3">
        <v>73976</v>
      </c>
      <c r="E10" s="3">
        <f t="shared" ref="E10:E13" si="0">+B10-C10</f>
        <v>60000</v>
      </c>
    </row>
    <row r="11" spans="1:5" x14ac:dyDescent="0.2">
      <c r="A11" s="10" t="s">
        <v>24</v>
      </c>
      <c r="B11" s="3">
        <f>+'2024 HCHD Budget'!N10</f>
        <v>3500000</v>
      </c>
      <c r="C11" s="3">
        <v>3500000</v>
      </c>
      <c r="E11" s="3">
        <f t="shared" si="0"/>
        <v>0</v>
      </c>
    </row>
    <row r="12" spans="1:5" x14ac:dyDescent="0.2">
      <c r="A12" s="18" t="s">
        <v>71</v>
      </c>
      <c r="B12" s="28">
        <f>+'2024 HCHD Budget'!N11</f>
        <v>0</v>
      </c>
      <c r="C12" s="28">
        <v>2400</v>
      </c>
      <c r="E12" s="28">
        <f t="shared" si="0"/>
        <v>-2400</v>
      </c>
    </row>
    <row r="13" spans="1:5" x14ac:dyDescent="0.2">
      <c r="A13" s="10" t="s">
        <v>18</v>
      </c>
      <c r="B13" s="45">
        <f>+'2024 HCHD Budget'!N12</f>
        <v>2681072.5299999998</v>
      </c>
      <c r="C13" s="45">
        <v>2316381</v>
      </c>
      <c r="E13" s="45">
        <f t="shared" si="0"/>
        <v>364691.5299999998</v>
      </c>
    </row>
    <row r="14" spans="1:5" x14ac:dyDescent="0.2">
      <c r="A14" s="1" t="s">
        <v>19</v>
      </c>
      <c r="B14" s="40">
        <f>+'2024 HCHD Budget'!N13</f>
        <v>1801294.5299999998</v>
      </c>
      <c r="C14" s="39">
        <f>SUM(C8:C13)</f>
        <v>4556466</v>
      </c>
      <c r="E14" s="40">
        <f>+B14-C14</f>
        <v>-2755171.47</v>
      </c>
    </row>
    <row r="15" spans="1:5" x14ac:dyDescent="0.2">
      <c r="B15" s="1"/>
      <c r="C15" s="1"/>
      <c r="E15" s="1"/>
    </row>
    <row r="16" spans="1:5" x14ac:dyDescent="0.2">
      <c r="A16" s="18" t="s">
        <v>64</v>
      </c>
      <c r="B16" s="3">
        <f>+'2024 HCHD Budget'!N15</f>
        <v>15900</v>
      </c>
      <c r="C16" s="3">
        <v>15900</v>
      </c>
      <c r="E16" s="3">
        <f t="shared" ref="E16:E17" si="1">+B16-C16</f>
        <v>0</v>
      </c>
    </row>
    <row r="17" spans="1:5" ht="15" x14ac:dyDescent="0.35">
      <c r="A17" s="10" t="s">
        <v>20</v>
      </c>
      <c r="B17" s="16">
        <f>+'2024 HCHD Budget'!N16</f>
        <v>14190</v>
      </c>
      <c r="C17" s="16">
        <v>14190</v>
      </c>
      <c r="E17" s="16">
        <f t="shared" si="1"/>
        <v>0</v>
      </c>
    </row>
    <row r="18" spans="1:5" x14ac:dyDescent="0.2">
      <c r="A18" s="1" t="s">
        <v>21</v>
      </c>
      <c r="B18" s="28">
        <f>+'2024 HCHD Budget'!N17</f>
        <v>30090</v>
      </c>
      <c r="C18" s="28">
        <f>SUM(C16:C17)</f>
        <v>30090</v>
      </c>
      <c r="E18" s="28">
        <f>+B18-C18</f>
        <v>0</v>
      </c>
    </row>
    <row r="19" spans="1:5" x14ac:dyDescent="0.2">
      <c r="A19" s="15" t="s">
        <v>25</v>
      </c>
      <c r="B19" s="3">
        <f>+'2024 HCHD Budget'!N18</f>
        <v>14035</v>
      </c>
      <c r="C19" s="3">
        <v>14035</v>
      </c>
      <c r="E19" s="3">
        <f t="shared" ref="E19:E33" si="2">+B19-C19</f>
        <v>0</v>
      </c>
    </row>
    <row r="20" spans="1:5" x14ac:dyDescent="0.2">
      <c r="A20" s="42" t="s">
        <v>54</v>
      </c>
      <c r="B20" s="3">
        <f>+'2024 HCHD Budget'!N19</f>
        <v>0</v>
      </c>
      <c r="C20" s="3">
        <v>0</v>
      </c>
      <c r="E20" s="3">
        <f t="shared" si="2"/>
        <v>0</v>
      </c>
    </row>
    <row r="21" spans="1:5" x14ac:dyDescent="0.2">
      <c r="A21" s="15" t="s">
        <v>32</v>
      </c>
      <c r="B21" s="3">
        <f>+'2024 HCHD Budget'!N20</f>
        <v>10000</v>
      </c>
      <c r="C21" s="3">
        <v>10000</v>
      </c>
      <c r="E21" s="3">
        <f t="shared" si="2"/>
        <v>0</v>
      </c>
    </row>
    <row r="22" spans="1:5" x14ac:dyDescent="0.2">
      <c r="A22" s="15" t="s">
        <v>26</v>
      </c>
      <c r="B22" s="3">
        <f>+'2024 HCHD Budget'!N21</f>
        <v>0</v>
      </c>
      <c r="C22" s="3">
        <v>0</v>
      </c>
      <c r="E22" s="3">
        <f t="shared" si="2"/>
        <v>0</v>
      </c>
    </row>
    <row r="23" spans="1:5" x14ac:dyDescent="0.2">
      <c r="A23" s="15" t="s">
        <v>28</v>
      </c>
      <c r="B23" s="3">
        <f>+'2024 HCHD Budget'!N22</f>
        <v>7500</v>
      </c>
      <c r="C23" s="3">
        <v>2500</v>
      </c>
      <c r="E23" s="3">
        <f t="shared" si="2"/>
        <v>5000</v>
      </c>
    </row>
    <row r="24" spans="1:5" x14ac:dyDescent="0.2">
      <c r="A24" s="42" t="s">
        <v>81</v>
      </c>
      <c r="B24" s="3">
        <f>+'2024 HCHD Budget'!N23</f>
        <v>30000</v>
      </c>
      <c r="C24" s="3">
        <v>0</v>
      </c>
      <c r="E24" s="3">
        <f t="shared" si="2"/>
        <v>30000</v>
      </c>
    </row>
    <row r="25" spans="1:5" x14ac:dyDescent="0.2">
      <c r="A25" s="15" t="s">
        <v>29</v>
      </c>
      <c r="B25" s="3">
        <f>+'2024 HCHD Budget'!N24</f>
        <v>1200</v>
      </c>
      <c r="C25" s="3">
        <v>3100</v>
      </c>
      <c r="E25" s="3">
        <f t="shared" si="2"/>
        <v>-1900</v>
      </c>
    </row>
    <row r="26" spans="1:5" x14ac:dyDescent="0.2">
      <c r="A26" s="15" t="s">
        <v>27</v>
      </c>
      <c r="B26" s="3">
        <f>+'2024 HCHD Budget'!N25</f>
        <v>817857</v>
      </c>
      <c r="C26" s="3">
        <v>846577</v>
      </c>
      <c r="E26" s="3">
        <f t="shared" si="2"/>
        <v>-28720</v>
      </c>
    </row>
    <row r="27" spans="1:5" x14ac:dyDescent="0.2">
      <c r="A27" s="42" t="s">
        <v>56</v>
      </c>
      <c r="B27" s="3">
        <f>+'2024 HCHD Budget'!N26</f>
        <v>50</v>
      </c>
      <c r="C27" s="3">
        <v>50</v>
      </c>
      <c r="E27" s="3">
        <f t="shared" si="2"/>
        <v>0</v>
      </c>
    </row>
    <row r="28" spans="1:5" x14ac:dyDescent="0.2">
      <c r="A28" s="42" t="s">
        <v>57</v>
      </c>
      <c r="B28" s="3">
        <f>+'2024 HCHD Budget'!N27</f>
        <v>0</v>
      </c>
      <c r="C28" s="3">
        <v>0</v>
      </c>
      <c r="E28" s="3">
        <f t="shared" si="2"/>
        <v>0</v>
      </c>
    </row>
    <row r="29" spans="1:5" x14ac:dyDescent="0.2">
      <c r="A29" s="42" t="s">
        <v>58</v>
      </c>
      <c r="B29" s="3">
        <f>+'2024 HCHD Budget'!N28</f>
        <v>0</v>
      </c>
      <c r="C29" s="3">
        <v>0</v>
      </c>
      <c r="E29" s="3">
        <f t="shared" si="2"/>
        <v>0</v>
      </c>
    </row>
    <row r="30" spans="1:5" x14ac:dyDescent="0.2">
      <c r="A30" s="42" t="s">
        <v>60</v>
      </c>
      <c r="B30" s="3">
        <f>+'2024 HCHD Budget'!N29</f>
        <v>0</v>
      </c>
      <c r="C30" s="3">
        <v>0</v>
      </c>
      <c r="E30" s="3">
        <f t="shared" si="2"/>
        <v>0</v>
      </c>
    </row>
    <row r="31" spans="1:5" x14ac:dyDescent="0.2">
      <c r="A31" s="15" t="s">
        <v>30</v>
      </c>
      <c r="B31" s="3">
        <f>+'2024 HCHD Budget'!N30</f>
        <v>726853.73</v>
      </c>
      <c r="C31" s="3">
        <v>727384</v>
      </c>
      <c r="E31" s="3">
        <f t="shared" si="2"/>
        <v>-530.27000000001863</v>
      </c>
    </row>
    <row r="32" spans="1:5" x14ac:dyDescent="0.2">
      <c r="A32" s="42" t="s">
        <v>61</v>
      </c>
      <c r="B32" s="3">
        <f>+'2024 HCHD Budget'!N31</f>
        <v>0</v>
      </c>
      <c r="C32" s="3">
        <v>10000</v>
      </c>
      <c r="E32" s="3">
        <f t="shared" si="2"/>
        <v>-10000</v>
      </c>
    </row>
    <row r="33" spans="1:5" ht="15" x14ac:dyDescent="0.35">
      <c r="A33" s="15" t="s">
        <v>31</v>
      </c>
      <c r="B33" s="16">
        <f>+'2024 HCHD Budget'!N32</f>
        <v>54912.589999999989</v>
      </c>
      <c r="C33" s="16">
        <v>43980</v>
      </c>
      <c r="E33" s="16">
        <f t="shared" si="2"/>
        <v>10932.589999999989</v>
      </c>
    </row>
    <row r="34" spans="1:5" x14ac:dyDescent="0.2">
      <c r="A34" s="1" t="s">
        <v>22</v>
      </c>
      <c r="B34" s="28">
        <f>+'2024 HCHD Budget'!N33</f>
        <v>1662408.32</v>
      </c>
      <c r="C34" s="28">
        <f>SUM(C19:C33)</f>
        <v>1657626</v>
      </c>
      <c r="E34" s="28">
        <f>+B34-C34</f>
        <v>4782.3200000000652</v>
      </c>
    </row>
    <row r="35" spans="1:5" x14ac:dyDescent="0.2">
      <c r="B35" s="43" t="str">
        <f>+'2024 HCHD Budget'!N34</f>
        <v>--------------</v>
      </c>
      <c r="C35" s="43" t="s">
        <v>14</v>
      </c>
      <c r="E35" s="43" t="s">
        <v>14</v>
      </c>
    </row>
    <row r="36" spans="1:5" x14ac:dyDescent="0.2">
      <c r="A36" s="1" t="s">
        <v>16</v>
      </c>
      <c r="B36" s="28">
        <f>+'2024 HCHD Budget'!N35</f>
        <v>1692498.32</v>
      </c>
      <c r="C36" s="28">
        <f>+C34+C18</f>
        <v>1687716</v>
      </c>
      <c r="E36" s="28">
        <f>+B36-C36</f>
        <v>4782.3200000000652</v>
      </c>
    </row>
    <row r="37" spans="1:5" x14ac:dyDescent="0.2">
      <c r="B37" s="43" t="str">
        <f>+'2024 HCHD Budget'!N36</f>
        <v>--------------</v>
      </c>
      <c r="C37" s="43" t="s">
        <v>14</v>
      </c>
      <c r="E37" s="43" t="s">
        <v>14</v>
      </c>
    </row>
    <row r="38" spans="1:5" x14ac:dyDescent="0.2">
      <c r="A38" s="1" t="s">
        <v>13</v>
      </c>
      <c r="B38" s="28">
        <f>+'2024 HCHD Budget'!N37</f>
        <v>108796.20999999973</v>
      </c>
      <c r="C38" s="28">
        <f>+C14-C36</f>
        <v>2868750</v>
      </c>
      <c r="E38" s="28">
        <f>+B38-C38</f>
        <v>-2759953.79</v>
      </c>
    </row>
  </sheetData>
  <pageMargins left="0.7" right="0.7" top="0.75" bottom="0.75" header="0.3" footer="0.3"/>
  <pageSetup scale="9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M28"/>
  <sheetViews>
    <sheetView workbookViewId="0">
      <selection activeCell="A28" sqref="A28"/>
    </sheetView>
  </sheetViews>
  <sheetFormatPr defaultRowHeight="12.75" x14ac:dyDescent="0.2"/>
  <cols>
    <col min="1" max="1" width="19.140625" bestFit="1" customWidth="1"/>
    <col min="2" max="2" width="14" bestFit="1" customWidth="1"/>
    <col min="3" max="4" width="18" bestFit="1" customWidth="1"/>
    <col min="5" max="5" width="11.42578125" bestFit="1" customWidth="1"/>
    <col min="6" max="6" width="25" bestFit="1" customWidth="1"/>
    <col min="7" max="7" width="26.7109375" customWidth="1"/>
    <col min="8" max="8" width="11.28515625" bestFit="1" customWidth="1"/>
    <col min="9" max="9" width="12.28515625" bestFit="1" customWidth="1"/>
    <col min="10" max="11" width="11.28515625" bestFit="1" customWidth="1"/>
    <col min="12" max="12" width="9.42578125" bestFit="1" customWidth="1"/>
    <col min="13" max="13" width="11.42578125" bestFit="1" customWidth="1"/>
    <col min="14" max="14" width="9.28515625" bestFit="1" customWidth="1"/>
    <col min="15" max="16" width="11.28515625" bestFit="1" customWidth="1"/>
    <col min="17" max="19" width="9.28515625" bestFit="1" customWidth="1"/>
    <col min="20" max="20" width="11.28515625" bestFit="1" customWidth="1"/>
    <col min="21" max="22" width="9.28515625" bestFit="1" customWidth="1"/>
    <col min="23" max="23" width="11.28515625" bestFit="1" customWidth="1"/>
    <col min="24" max="24" width="9.28515625" bestFit="1" customWidth="1"/>
  </cols>
  <sheetData>
    <row r="6" spans="1:7" ht="25.5" x14ac:dyDescent="0.2">
      <c r="C6" s="1" t="s">
        <v>33</v>
      </c>
      <c r="D6" s="1" t="s">
        <v>34</v>
      </c>
      <c r="E6" s="1"/>
      <c r="F6" s="1" t="s">
        <v>63</v>
      </c>
      <c r="G6" s="25" t="s">
        <v>40</v>
      </c>
    </row>
    <row r="7" spans="1:7" x14ac:dyDescent="0.2">
      <c r="A7" s="18" t="s">
        <v>38</v>
      </c>
      <c r="C7" s="17">
        <v>2681072530</v>
      </c>
      <c r="D7" s="17">
        <v>2681072530</v>
      </c>
      <c r="F7" s="17">
        <f>+D7</f>
        <v>2681072530</v>
      </c>
      <c r="G7" s="17">
        <f>+D7</f>
        <v>2681072530</v>
      </c>
    </row>
    <row r="8" spans="1:7" x14ac:dyDescent="0.2">
      <c r="A8" s="18" t="s">
        <v>35</v>
      </c>
      <c r="C8" s="23">
        <v>0.1</v>
      </c>
      <c r="D8" s="23">
        <v>0.1</v>
      </c>
      <c r="F8" s="22">
        <v>0.10506799999999999</v>
      </c>
      <c r="G8" s="22">
        <v>0.33</v>
      </c>
    </row>
    <row r="10" spans="1:7" x14ac:dyDescent="0.2">
      <c r="A10" s="18" t="s">
        <v>36</v>
      </c>
      <c r="C10" s="9">
        <f>+(C7/100)*C8</f>
        <v>2681072.5300000003</v>
      </c>
      <c r="D10" s="9">
        <f>+(D7/100)*D8</f>
        <v>2681072.5300000003</v>
      </c>
      <c r="F10" s="9">
        <f>+(F7/100)*F8</f>
        <v>2816949.2858203999</v>
      </c>
      <c r="G10" s="9">
        <f>+(G7/100)*G8</f>
        <v>8847539.3490000013</v>
      </c>
    </row>
    <row r="11" spans="1:7" x14ac:dyDescent="0.2">
      <c r="A11" s="18" t="s">
        <v>37</v>
      </c>
      <c r="C11" s="9">
        <f>+C10-D10</f>
        <v>0</v>
      </c>
      <c r="D11" s="17">
        <v>0</v>
      </c>
      <c r="F11" s="9">
        <f>+F10-D10</f>
        <v>135876.75582039962</v>
      </c>
      <c r="G11" s="9">
        <f>+G10-D10</f>
        <v>6166466.8190000011</v>
      </c>
    </row>
    <row r="12" spans="1:7" x14ac:dyDescent="0.2">
      <c r="C12" s="9"/>
      <c r="F12" s="9"/>
    </row>
    <row r="14" spans="1:7" x14ac:dyDescent="0.2">
      <c r="A14" s="18" t="s">
        <v>39</v>
      </c>
      <c r="C14" s="17">
        <v>0</v>
      </c>
    </row>
    <row r="17" spans="1:13" x14ac:dyDescent="0.2">
      <c r="C17" s="7">
        <v>0</v>
      </c>
      <c r="D17" s="24">
        <f>+F8-D8</f>
        <v>5.0679999999999892E-3</v>
      </c>
    </row>
    <row r="18" spans="1:13" x14ac:dyDescent="0.2">
      <c r="C18" s="9">
        <f>+C10</f>
        <v>2681072.5300000003</v>
      </c>
      <c r="D18" s="24">
        <f>+D17/2</f>
        <v>2.5339999999999946E-3</v>
      </c>
    </row>
    <row r="19" spans="1:13" x14ac:dyDescent="0.2">
      <c r="C19" s="9">
        <f>+C18-C17</f>
        <v>2681072.5300000003</v>
      </c>
    </row>
    <row r="24" spans="1:13" x14ac:dyDescent="0.2">
      <c r="A24" s="13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  <c r="I24" s="13" t="s">
        <v>9</v>
      </c>
      <c r="J24" s="13" t="s">
        <v>10</v>
      </c>
      <c r="K24" s="13" t="s">
        <v>11</v>
      </c>
      <c r="L24" s="13" t="s">
        <v>12</v>
      </c>
    </row>
    <row r="25" spans="1:13" x14ac:dyDescent="0.2">
      <c r="A25" s="27">
        <v>2120438.7400000002</v>
      </c>
      <c r="B25" s="27">
        <v>271527.63</v>
      </c>
      <c r="C25" s="27">
        <v>166284.5</v>
      </c>
      <c r="D25" s="27">
        <v>209042.53</v>
      </c>
      <c r="E25" s="27">
        <v>86401.39</v>
      </c>
      <c r="F25" s="27">
        <v>23632.34</v>
      </c>
      <c r="G25" s="27">
        <v>16430.18</v>
      </c>
      <c r="H25" s="27">
        <v>24072.560000000001</v>
      </c>
      <c r="I25" s="27">
        <v>14034.68</v>
      </c>
      <c r="J25" s="27">
        <v>8409.31</v>
      </c>
      <c r="K25" s="46">
        <v>8267.7000000000007</v>
      </c>
      <c r="L25" s="46">
        <v>4741.55</v>
      </c>
      <c r="M25" s="6">
        <f>SUM(A25:L25)</f>
        <v>2953283.1100000003</v>
      </c>
    </row>
    <row r="26" spans="1:13" x14ac:dyDescent="0.2">
      <c r="A26" s="20">
        <f>+A25/$M$25</f>
        <v>0.71799372461788802</v>
      </c>
      <c r="B26" s="20">
        <f t="shared" ref="B26:L26" si="0">+B25/$M$25</f>
        <v>9.1940941618699049E-2</v>
      </c>
      <c r="C26" s="20">
        <f t="shared" si="0"/>
        <v>5.6304964274149792E-2</v>
      </c>
      <c r="D26" s="20">
        <f t="shared" si="0"/>
        <v>7.0783098745991868E-2</v>
      </c>
      <c r="E26" s="20">
        <f t="shared" si="0"/>
        <v>2.925604717930344E-2</v>
      </c>
      <c r="F26" s="20">
        <f t="shared" si="0"/>
        <v>8.0020570733565725E-3</v>
      </c>
      <c r="G26" s="20">
        <f t="shared" si="0"/>
        <v>5.563360974220991E-3</v>
      </c>
      <c r="H26" s="20">
        <f t="shared" si="0"/>
        <v>8.151118298983533E-3</v>
      </c>
      <c r="I26" s="20">
        <f t="shared" si="0"/>
        <v>4.7522297989236791E-3</v>
      </c>
      <c r="J26" s="20">
        <f t="shared" si="0"/>
        <v>2.8474445851552643E-3</v>
      </c>
      <c r="K26" s="20">
        <f t="shared" si="0"/>
        <v>2.7994945598019553E-3</v>
      </c>
      <c r="L26" s="20">
        <f t="shared" si="0"/>
        <v>1.6055182735257643E-3</v>
      </c>
    </row>
    <row r="28" spans="1:13" x14ac:dyDescent="0.2">
      <c r="A28" s="7">
        <f>+A26*$M$28</f>
        <v>1924993.2517854045</v>
      </c>
      <c r="B28" s="7">
        <f t="shared" ref="B28:K28" si="1">+B26*$M$28</f>
        <v>246500.33295622776</v>
      </c>
      <c r="C28" s="7">
        <f t="shared" si="1"/>
        <v>150957.69301805442</v>
      </c>
      <c r="D28" s="7">
        <f t="shared" si="1"/>
        <v>189774.62163615625</v>
      </c>
      <c r="E28" s="7">
        <f t="shared" si="1"/>
        <v>78437.584428814444</v>
      </c>
      <c r="F28" s="7">
        <f t="shared" si="1"/>
        <v>21454.095402868505</v>
      </c>
      <c r="G28" s="7">
        <f t="shared" si="1"/>
        <v>14915.774282457938</v>
      </c>
      <c r="H28" s="7">
        <f t="shared" si="1"/>
        <v>21853.739360185078</v>
      </c>
      <c r="I28" s="7">
        <f t="shared" si="1"/>
        <v>12741.072770141702</v>
      </c>
      <c r="J28" s="7">
        <f t="shared" si="1"/>
        <v>7634.2054579570258</v>
      </c>
      <c r="K28" s="7">
        <f t="shared" si="1"/>
        <v>7505.6479621694652</v>
      </c>
      <c r="L28" s="7">
        <f>+L26*$M$28</f>
        <v>4304.5109395629534</v>
      </c>
      <c r="M28" s="9">
        <f>+D10</f>
        <v>2681072.5300000003</v>
      </c>
    </row>
  </sheetData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F17"/>
  <sheetViews>
    <sheetView workbookViewId="0">
      <selection activeCell="F6" sqref="F6:F17"/>
    </sheetView>
  </sheetViews>
  <sheetFormatPr defaultRowHeight="12.75" x14ac:dyDescent="0.2"/>
  <cols>
    <col min="5" max="5" width="21" bestFit="1" customWidth="1"/>
    <col min="6" max="6" width="15.5703125" bestFit="1" customWidth="1"/>
    <col min="261" max="261" width="19.140625" bestFit="1" customWidth="1"/>
    <col min="262" max="262" width="15.5703125" bestFit="1" customWidth="1"/>
    <col min="517" max="517" width="19.140625" bestFit="1" customWidth="1"/>
    <col min="518" max="518" width="15.5703125" bestFit="1" customWidth="1"/>
    <col min="773" max="773" width="19.140625" bestFit="1" customWidth="1"/>
    <col min="774" max="774" width="15.5703125" bestFit="1" customWidth="1"/>
    <col min="1029" max="1029" width="19.140625" bestFit="1" customWidth="1"/>
    <col min="1030" max="1030" width="15.5703125" bestFit="1" customWidth="1"/>
    <col min="1285" max="1285" width="19.140625" bestFit="1" customWidth="1"/>
    <col min="1286" max="1286" width="15.5703125" bestFit="1" customWidth="1"/>
    <col min="1541" max="1541" width="19.140625" bestFit="1" customWidth="1"/>
    <col min="1542" max="1542" width="15.5703125" bestFit="1" customWidth="1"/>
    <col min="1797" max="1797" width="19.140625" bestFit="1" customWidth="1"/>
    <col min="1798" max="1798" width="15.5703125" bestFit="1" customWidth="1"/>
    <col min="2053" max="2053" width="19.140625" bestFit="1" customWidth="1"/>
    <col min="2054" max="2054" width="15.5703125" bestFit="1" customWidth="1"/>
    <col min="2309" max="2309" width="19.140625" bestFit="1" customWidth="1"/>
    <col min="2310" max="2310" width="15.5703125" bestFit="1" customWidth="1"/>
    <col min="2565" max="2565" width="19.140625" bestFit="1" customWidth="1"/>
    <col min="2566" max="2566" width="15.5703125" bestFit="1" customWidth="1"/>
    <col min="2821" max="2821" width="19.140625" bestFit="1" customWidth="1"/>
    <col min="2822" max="2822" width="15.5703125" bestFit="1" customWidth="1"/>
    <col min="3077" max="3077" width="19.140625" bestFit="1" customWidth="1"/>
    <col min="3078" max="3078" width="15.5703125" bestFit="1" customWidth="1"/>
    <col min="3333" max="3333" width="19.140625" bestFit="1" customWidth="1"/>
    <col min="3334" max="3334" width="15.5703125" bestFit="1" customWidth="1"/>
    <col min="3589" max="3589" width="19.140625" bestFit="1" customWidth="1"/>
    <col min="3590" max="3590" width="15.5703125" bestFit="1" customWidth="1"/>
    <col min="3845" max="3845" width="19.140625" bestFit="1" customWidth="1"/>
    <col min="3846" max="3846" width="15.5703125" bestFit="1" customWidth="1"/>
    <col min="4101" max="4101" width="19.140625" bestFit="1" customWidth="1"/>
    <col min="4102" max="4102" width="15.5703125" bestFit="1" customWidth="1"/>
    <col min="4357" max="4357" width="19.140625" bestFit="1" customWidth="1"/>
    <col min="4358" max="4358" width="15.5703125" bestFit="1" customWidth="1"/>
    <col min="4613" max="4613" width="19.140625" bestFit="1" customWidth="1"/>
    <col min="4614" max="4614" width="15.5703125" bestFit="1" customWidth="1"/>
    <col min="4869" max="4869" width="19.140625" bestFit="1" customWidth="1"/>
    <col min="4870" max="4870" width="15.5703125" bestFit="1" customWidth="1"/>
    <col min="5125" max="5125" width="19.140625" bestFit="1" customWidth="1"/>
    <col min="5126" max="5126" width="15.5703125" bestFit="1" customWidth="1"/>
    <col min="5381" max="5381" width="19.140625" bestFit="1" customWidth="1"/>
    <col min="5382" max="5382" width="15.5703125" bestFit="1" customWidth="1"/>
    <col min="5637" max="5637" width="19.140625" bestFit="1" customWidth="1"/>
    <col min="5638" max="5638" width="15.5703125" bestFit="1" customWidth="1"/>
    <col min="5893" max="5893" width="19.140625" bestFit="1" customWidth="1"/>
    <col min="5894" max="5894" width="15.5703125" bestFit="1" customWidth="1"/>
    <col min="6149" max="6149" width="19.140625" bestFit="1" customWidth="1"/>
    <col min="6150" max="6150" width="15.5703125" bestFit="1" customWidth="1"/>
    <col min="6405" max="6405" width="19.140625" bestFit="1" customWidth="1"/>
    <col min="6406" max="6406" width="15.5703125" bestFit="1" customWidth="1"/>
    <col min="6661" max="6661" width="19.140625" bestFit="1" customWidth="1"/>
    <col min="6662" max="6662" width="15.5703125" bestFit="1" customWidth="1"/>
    <col min="6917" max="6917" width="19.140625" bestFit="1" customWidth="1"/>
    <col min="6918" max="6918" width="15.5703125" bestFit="1" customWidth="1"/>
    <col min="7173" max="7173" width="19.140625" bestFit="1" customWidth="1"/>
    <col min="7174" max="7174" width="15.5703125" bestFit="1" customWidth="1"/>
    <col min="7429" max="7429" width="19.140625" bestFit="1" customWidth="1"/>
    <col min="7430" max="7430" width="15.5703125" bestFit="1" customWidth="1"/>
    <col min="7685" max="7685" width="19.140625" bestFit="1" customWidth="1"/>
    <col min="7686" max="7686" width="15.5703125" bestFit="1" customWidth="1"/>
    <col min="7941" max="7941" width="19.140625" bestFit="1" customWidth="1"/>
    <col min="7942" max="7942" width="15.5703125" bestFit="1" customWidth="1"/>
    <col min="8197" max="8197" width="19.140625" bestFit="1" customWidth="1"/>
    <col min="8198" max="8198" width="15.5703125" bestFit="1" customWidth="1"/>
    <col min="8453" max="8453" width="19.140625" bestFit="1" customWidth="1"/>
    <col min="8454" max="8454" width="15.5703125" bestFit="1" customWidth="1"/>
    <col min="8709" max="8709" width="19.140625" bestFit="1" customWidth="1"/>
    <col min="8710" max="8710" width="15.5703125" bestFit="1" customWidth="1"/>
    <col min="8965" max="8965" width="19.140625" bestFit="1" customWidth="1"/>
    <col min="8966" max="8966" width="15.5703125" bestFit="1" customWidth="1"/>
    <col min="9221" max="9221" width="19.140625" bestFit="1" customWidth="1"/>
    <col min="9222" max="9222" width="15.5703125" bestFit="1" customWidth="1"/>
    <col min="9477" max="9477" width="19.140625" bestFit="1" customWidth="1"/>
    <col min="9478" max="9478" width="15.5703125" bestFit="1" customWidth="1"/>
    <col min="9733" max="9733" width="19.140625" bestFit="1" customWidth="1"/>
    <col min="9734" max="9734" width="15.5703125" bestFit="1" customWidth="1"/>
    <col min="9989" max="9989" width="19.140625" bestFit="1" customWidth="1"/>
    <col min="9990" max="9990" width="15.5703125" bestFit="1" customWidth="1"/>
    <col min="10245" max="10245" width="19.140625" bestFit="1" customWidth="1"/>
    <col min="10246" max="10246" width="15.5703125" bestFit="1" customWidth="1"/>
    <col min="10501" max="10501" width="19.140625" bestFit="1" customWidth="1"/>
    <col min="10502" max="10502" width="15.5703125" bestFit="1" customWidth="1"/>
    <col min="10757" max="10757" width="19.140625" bestFit="1" customWidth="1"/>
    <col min="10758" max="10758" width="15.5703125" bestFit="1" customWidth="1"/>
    <col min="11013" max="11013" width="19.140625" bestFit="1" customWidth="1"/>
    <col min="11014" max="11014" width="15.5703125" bestFit="1" customWidth="1"/>
    <col min="11269" max="11269" width="19.140625" bestFit="1" customWidth="1"/>
    <col min="11270" max="11270" width="15.5703125" bestFit="1" customWidth="1"/>
    <col min="11525" max="11525" width="19.140625" bestFit="1" customWidth="1"/>
    <col min="11526" max="11526" width="15.5703125" bestFit="1" customWidth="1"/>
    <col min="11781" max="11781" width="19.140625" bestFit="1" customWidth="1"/>
    <col min="11782" max="11782" width="15.5703125" bestFit="1" customWidth="1"/>
    <col min="12037" max="12037" width="19.140625" bestFit="1" customWidth="1"/>
    <col min="12038" max="12038" width="15.5703125" bestFit="1" customWidth="1"/>
    <col min="12293" max="12293" width="19.140625" bestFit="1" customWidth="1"/>
    <col min="12294" max="12294" width="15.5703125" bestFit="1" customWidth="1"/>
    <col min="12549" max="12549" width="19.140625" bestFit="1" customWidth="1"/>
    <col min="12550" max="12550" width="15.5703125" bestFit="1" customWidth="1"/>
    <col min="12805" max="12805" width="19.140625" bestFit="1" customWidth="1"/>
    <col min="12806" max="12806" width="15.5703125" bestFit="1" customWidth="1"/>
    <col min="13061" max="13061" width="19.140625" bestFit="1" customWidth="1"/>
    <col min="13062" max="13062" width="15.5703125" bestFit="1" customWidth="1"/>
    <col min="13317" max="13317" width="19.140625" bestFit="1" customWidth="1"/>
    <col min="13318" max="13318" width="15.5703125" bestFit="1" customWidth="1"/>
    <col min="13573" max="13573" width="19.140625" bestFit="1" customWidth="1"/>
    <col min="13574" max="13574" width="15.5703125" bestFit="1" customWidth="1"/>
    <col min="13829" max="13829" width="19.140625" bestFit="1" customWidth="1"/>
    <col min="13830" max="13830" width="15.5703125" bestFit="1" customWidth="1"/>
    <col min="14085" max="14085" width="19.140625" bestFit="1" customWidth="1"/>
    <col min="14086" max="14086" width="15.5703125" bestFit="1" customWidth="1"/>
    <col min="14341" max="14341" width="19.140625" bestFit="1" customWidth="1"/>
    <col min="14342" max="14342" width="15.5703125" bestFit="1" customWidth="1"/>
    <col min="14597" max="14597" width="19.140625" bestFit="1" customWidth="1"/>
    <col min="14598" max="14598" width="15.5703125" bestFit="1" customWidth="1"/>
    <col min="14853" max="14853" width="19.140625" bestFit="1" customWidth="1"/>
    <col min="14854" max="14854" width="15.5703125" bestFit="1" customWidth="1"/>
    <col min="15109" max="15109" width="19.140625" bestFit="1" customWidth="1"/>
    <col min="15110" max="15110" width="15.5703125" bestFit="1" customWidth="1"/>
    <col min="15365" max="15365" width="19.140625" bestFit="1" customWidth="1"/>
    <col min="15366" max="15366" width="15.5703125" bestFit="1" customWidth="1"/>
    <col min="15621" max="15621" width="19.140625" bestFit="1" customWidth="1"/>
    <col min="15622" max="15622" width="15.5703125" bestFit="1" customWidth="1"/>
    <col min="15877" max="15877" width="19.140625" bestFit="1" customWidth="1"/>
    <col min="15878" max="15878" width="15.5703125" bestFit="1" customWidth="1"/>
    <col min="16133" max="16133" width="19.140625" bestFit="1" customWidth="1"/>
    <col min="16134" max="16134" width="15.5703125" bestFit="1" customWidth="1"/>
  </cols>
  <sheetData>
    <row r="3" spans="1:6" x14ac:dyDescent="0.2"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">
      <c r="A4" s="8">
        <v>45139</v>
      </c>
      <c r="B4" s="48">
        <v>13167</v>
      </c>
      <c r="C4" s="48">
        <v>12345</v>
      </c>
      <c r="D4" s="48">
        <v>13649</v>
      </c>
      <c r="E4" s="12">
        <f>SUM(B4:D4)</f>
        <v>39161</v>
      </c>
      <c r="F4" s="17">
        <f>+E4</f>
        <v>39161</v>
      </c>
    </row>
    <row r="5" spans="1:6" ht="13.5" thickBot="1" x14ac:dyDescent="0.25">
      <c r="A5" s="8">
        <v>45170</v>
      </c>
      <c r="B5" s="48">
        <v>37855</v>
      </c>
      <c r="C5" s="48">
        <v>35492</v>
      </c>
      <c r="D5" s="48">
        <v>39240</v>
      </c>
      <c r="E5" s="12">
        <f t="shared" ref="E5" si="0">SUM(B5:D5)</f>
        <v>112587</v>
      </c>
      <c r="F5" s="17">
        <f>+E5-F4</f>
        <v>73426</v>
      </c>
    </row>
    <row r="6" spans="1:6" x14ac:dyDescent="0.2">
      <c r="A6" s="8">
        <v>45200</v>
      </c>
      <c r="B6" s="12">
        <v>63367</v>
      </c>
      <c r="C6" s="12">
        <v>59411</v>
      </c>
      <c r="D6" s="12">
        <v>65685</v>
      </c>
      <c r="E6" s="12">
        <f>SUM(B6:D6)</f>
        <v>188463</v>
      </c>
      <c r="F6" s="49">
        <f>+E6-F5-F4</f>
        <v>75876</v>
      </c>
    </row>
    <row r="7" spans="1:6" x14ac:dyDescent="0.2">
      <c r="A7" s="8">
        <v>45231</v>
      </c>
      <c r="B7" s="12">
        <v>88055</v>
      </c>
      <c r="C7" s="12">
        <v>82559</v>
      </c>
      <c r="D7" s="12">
        <v>91276</v>
      </c>
      <c r="E7" s="12">
        <f t="shared" ref="E7:E17" si="1">SUM(B7:D7)</f>
        <v>261890</v>
      </c>
      <c r="F7" s="50">
        <f>+E7-F6-F5-F4</f>
        <v>73427</v>
      </c>
    </row>
    <row r="8" spans="1:6" x14ac:dyDescent="0.2">
      <c r="A8" s="8">
        <v>45261</v>
      </c>
      <c r="B8" s="12">
        <v>113566</v>
      </c>
      <c r="C8" s="12">
        <v>106477</v>
      </c>
      <c r="D8" s="12">
        <v>117721</v>
      </c>
      <c r="E8" s="12">
        <f t="shared" si="1"/>
        <v>337764</v>
      </c>
      <c r="F8" s="50">
        <f>+E8-F7-F6-F5-F4</f>
        <v>75874</v>
      </c>
    </row>
    <row r="9" spans="1:6" x14ac:dyDescent="0.2">
      <c r="A9" s="8">
        <v>45292</v>
      </c>
      <c r="B9" s="12">
        <v>139078</v>
      </c>
      <c r="C9" s="12">
        <v>130396</v>
      </c>
      <c r="D9" s="12">
        <v>144165</v>
      </c>
      <c r="E9" s="12">
        <f t="shared" si="1"/>
        <v>413639</v>
      </c>
      <c r="F9" s="50">
        <f>+E9-F8-F7-F6-F5-F4</f>
        <v>75875</v>
      </c>
    </row>
    <row r="10" spans="1:6" x14ac:dyDescent="0.2">
      <c r="A10" s="8">
        <v>45323</v>
      </c>
      <c r="B10" s="12">
        <v>10698</v>
      </c>
      <c r="C10" s="12">
        <v>10030</v>
      </c>
      <c r="D10" s="12">
        <v>11090</v>
      </c>
      <c r="E10" s="12">
        <f t="shared" si="1"/>
        <v>31818</v>
      </c>
      <c r="F10" s="50">
        <f>+E10</f>
        <v>31818</v>
      </c>
    </row>
    <row r="11" spans="1:6" x14ac:dyDescent="0.2">
      <c r="A11" s="8">
        <v>45352</v>
      </c>
      <c r="B11" s="12">
        <v>37033</v>
      </c>
      <c r="C11" s="12">
        <v>34721</v>
      </c>
      <c r="D11" s="12">
        <v>38387</v>
      </c>
      <c r="E11" s="12">
        <f t="shared" si="1"/>
        <v>110141</v>
      </c>
      <c r="F11" s="50">
        <f>+E11-F10</f>
        <v>78323</v>
      </c>
    </row>
    <row r="12" spans="1:6" x14ac:dyDescent="0.2">
      <c r="A12" s="8">
        <v>45383</v>
      </c>
      <c r="B12" s="12">
        <v>61721</v>
      </c>
      <c r="C12" s="12">
        <v>57868</v>
      </c>
      <c r="D12" s="12">
        <v>63979</v>
      </c>
      <c r="E12" s="12">
        <f t="shared" si="1"/>
        <v>183568</v>
      </c>
      <c r="F12" s="50">
        <f>+E12-F11-F10</f>
        <v>73427</v>
      </c>
    </row>
    <row r="13" spans="1:6" x14ac:dyDescent="0.2">
      <c r="A13" s="8">
        <v>45413</v>
      </c>
      <c r="B13" s="12">
        <v>87232</v>
      </c>
      <c r="C13" s="12">
        <v>81787</v>
      </c>
      <c r="D13" s="12">
        <v>90423</v>
      </c>
      <c r="E13" s="12">
        <f t="shared" si="1"/>
        <v>259442</v>
      </c>
      <c r="F13" s="50">
        <f>+E13-F12-F11-F10</f>
        <v>75874</v>
      </c>
    </row>
    <row r="14" spans="1:6" x14ac:dyDescent="0.2">
      <c r="A14" s="8">
        <v>45444</v>
      </c>
      <c r="B14" s="12">
        <v>111921</v>
      </c>
      <c r="C14" s="12">
        <v>104934</v>
      </c>
      <c r="D14" s="12">
        <v>116015</v>
      </c>
      <c r="E14" s="12">
        <f t="shared" si="1"/>
        <v>332870</v>
      </c>
      <c r="F14" s="50">
        <f>+E14-F13-F12-F11-F10</f>
        <v>73428</v>
      </c>
    </row>
    <row r="15" spans="1:6" x14ac:dyDescent="0.2">
      <c r="A15" s="8">
        <v>45474</v>
      </c>
      <c r="B15" s="12">
        <v>137432</v>
      </c>
      <c r="C15" s="12">
        <v>128853</v>
      </c>
      <c r="D15" s="12">
        <v>142459</v>
      </c>
      <c r="E15" s="12">
        <f t="shared" si="1"/>
        <v>408744</v>
      </c>
      <c r="F15" s="50">
        <f>+E15-F14-F13-F12-F11-F10</f>
        <v>75874</v>
      </c>
    </row>
    <row r="16" spans="1:6" x14ac:dyDescent="0.2">
      <c r="A16" s="8">
        <v>45505</v>
      </c>
      <c r="B16" s="12">
        <v>12871</v>
      </c>
      <c r="C16" s="12">
        <v>12066</v>
      </c>
      <c r="D16" s="12">
        <v>12649</v>
      </c>
      <c r="E16" s="12">
        <f t="shared" si="1"/>
        <v>37586</v>
      </c>
      <c r="F16" s="50">
        <f>+E16</f>
        <v>37586</v>
      </c>
    </row>
    <row r="17" spans="1:6" ht="13.5" thickBot="1" x14ac:dyDescent="0.25">
      <c r="A17" s="8">
        <v>45536</v>
      </c>
      <c r="B17" s="12">
        <v>37005</v>
      </c>
      <c r="C17" s="12">
        <v>34689</v>
      </c>
      <c r="D17" s="12">
        <v>36367</v>
      </c>
      <c r="E17" s="12">
        <f t="shared" si="1"/>
        <v>108061</v>
      </c>
      <c r="F17" s="51">
        <f>+E17-F16</f>
        <v>70475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"/>
  <sheetViews>
    <sheetView workbookViewId="0">
      <selection activeCell="K9" sqref="K9"/>
    </sheetView>
  </sheetViews>
  <sheetFormatPr defaultRowHeight="12.75" x14ac:dyDescent="0.2"/>
  <cols>
    <col min="1" max="1" width="20.7109375" customWidth="1"/>
    <col min="2" max="2" width="12.7109375" customWidth="1"/>
    <col min="3" max="3" width="13.7109375" customWidth="1"/>
    <col min="4" max="9" width="12.7109375" customWidth="1"/>
    <col min="257" max="257" width="20.7109375" customWidth="1"/>
    <col min="258" max="258" width="12.7109375" customWidth="1"/>
    <col min="259" max="259" width="13.7109375" customWidth="1"/>
    <col min="260" max="265" width="12.7109375" customWidth="1"/>
    <col min="513" max="513" width="20.7109375" customWidth="1"/>
    <col min="514" max="514" width="12.7109375" customWidth="1"/>
    <col min="515" max="515" width="13.7109375" customWidth="1"/>
    <col min="516" max="521" width="12.7109375" customWidth="1"/>
    <col min="769" max="769" width="20.7109375" customWidth="1"/>
    <col min="770" max="770" width="12.7109375" customWidth="1"/>
    <col min="771" max="771" width="13.7109375" customWidth="1"/>
    <col min="772" max="777" width="12.7109375" customWidth="1"/>
    <col min="1025" max="1025" width="20.7109375" customWidth="1"/>
    <col min="1026" max="1026" width="12.7109375" customWidth="1"/>
    <col min="1027" max="1027" width="13.7109375" customWidth="1"/>
    <col min="1028" max="1033" width="12.7109375" customWidth="1"/>
    <col min="1281" max="1281" width="20.7109375" customWidth="1"/>
    <col min="1282" max="1282" width="12.7109375" customWidth="1"/>
    <col min="1283" max="1283" width="13.7109375" customWidth="1"/>
    <col min="1284" max="1289" width="12.7109375" customWidth="1"/>
    <col min="1537" max="1537" width="20.7109375" customWidth="1"/>
    <col min="1538" max="1538" width="12.7109375" customWidth="1"/>
    <col min="1539" max="1539" width="13.7109375" customWidth="1"/>
    <col min="1540" max="1545" width="12.7109375" customWidth="1"/>
    <col min="1793" max="1793" width="20.7109375" customWidth="1"/>
    <col min="1794" max="1794" width="12.7109375" customWidth="1"/>
    <col min="1795" max="1795" width="13.7109375" customWidth="1"/>
    <col min="1796" max="1801" width="12.7109375" customWidth="1"/>
    <col min="2049" max="2049" width="20.7109375" customWidth="1"/>
    <col min="2050" max="2050" width="12.7109375" customWidth="1"/>
    <col min="2051" max="2051" width="13.7109375" customWidth="1"/>
    <col min="2052" max="2057" width="12.7109375" customWidth="1"/>
    <col min="2305" max="2305" width="20.7109375" customWidth="1"/>
    <col min="2306" max="2306" width="12.7109375" customWidth="1"/>
    <col min="2307" max="2307" width="13.7109375" customWidth="1"/>
    <col min="2308" max="2313" width="12.7109375" customWidth="1"/>
    <col min="2561" max="2561" width="20.7109375" customWidth="1"/>
    <col min="2562" max="2562" width="12.7109375" customWidth="1"/>
    <col min="2563" max="2563" width="13.7109375" customWidth="1"/>
    <col min="2564" max="2569" width="12.7109375" customWidth="1"/>
    <col min="2817" max="2817" width="20.7109375" customWidth="1"/>
    <col min="2818" max="2818" width="12.7109375" customWidth="1"/>
    <col min="2819" max="2819" width="13.7109375" customWidth="1"/>
    <col min="2820" max="2825" width="12.7109375" customWidth="1"/>
    <col min="3073" max="3073" width="20.7109375" customWidth="1"/>
    <col min="3074" max="3074" width="12.7109375" customWidth="1"/>
    <col min="3075" max="3075" width="13.7109375" customWidth="1"/>
    <col min="3076" max="3081" width="12.7109375" customWidth="1"/>
    <col min="3329" max="3329" width="20.7109375" customWidth="1"/>
    <col min="3330" max="3330" width="12.7109375" customWidth="1"/>
    <col min="3331" max="3331" width="13.7109375" customWidth="1"/>
    <col min="3332" max="3337" width="12.7109375" customWidth="1"/>
    <col min="3585" max="3585" width="20.7109375" customWidth="1"/>
    <col min="3586" max="3586" width="12.7109375" customWidth="1"/>
    <col min="3587" max="3587" width="13.7109375" customWidth="1"/>
    <col min="3588" max="3593" width="12.7109375" customWidth="1"/>
    <col min="3841" max="3841" width="20.7109375" customWidth="1"/>
    <col min="3842" max="3842" width="12.7109375" customWidth="1"/>
    <col min="3843" max="3843" width="13.7109375" customWidth="1"/>
    <col min="3844" max="3849" width="12.7109375" customWidth="1"/>
    <col min="4097" max="4097" width="20.7109375" customWidth="1"/>
    <col min="4098" max="4098" width="12.7109375" customWidth="1"/>
    <col min="4099" max="4099" width="13.7109375" customWidth="1"/>
    <col min="4100" max="4105" width="12.7109375" customWidth="1"/>
    <col min="4353" max="4353" width="20.7109375" customWidth="1"/>
    <col min="4354" max="4354" width="12.7109375" customWidth="1"/>
    <col min="4355" max="4355" width="13.7109375" customWidth="1"/>
    <col min="4356" max="4361" width="12.7109375" customWidth="1"/>
    <col min="4609" max="4609" width="20.7109375" customWidth="1"/>
    <col min="4610" max="4610" width="12.7109375" customWidth="1"/>
    <col min="4611" max="4611" width="13.7109375" customWidth="1"/>
    <col min="4612" max="4617" width="12.7109375" customWidth="1"/>
    <col min="4865" max="4865" width="20.7109375" customWidth="1"/>
    <col min="4866" max="4866" width="12.7109375" customWidth="1"/>
    <col min="4867" max="4867" width="13.7109375" customWidth="1"/>
    <col min="4868" max="4873" width="12.7109375" customWidth="1"/>
    <col min="5121" max="5121" width="20.7109375" customWidth="1"/>
    <col min="5122" max="5122" width="12.7109375" customWidth="1"/>
    <col min="5123" max="5123" width="13.7109375" customWidth="1"/>
    <col min="5124" max="5129" width="12.7109375" customWidth="1"/>
    <col min="5377" max="5377" width="20.7109375" customWidth="1"/>
    <col min="5378" max="5378" width="12.7109375" customWidth="1"/>
    <col min="5379" max="5379" width="13.7109375" customWidth="1"/>
    <col min="5380" max="5385" width="12.7109375" customWidth="1"/>
    <col min="5633" max="5633" width="20.7109375" customWidth="1"/>
    <col min="5634" max="5634" width="12.7109375" customWidth="1"/>
    <col min="5635" max="5635" width="13.7109375" customWidth="1"/>
    <col min="5636" max="5641" width="12.7109375" customWidth="1"/>
    <col min="5889" max="5889" width="20.7109375" customWidth="1"/>
    <col min="5890" max="5890" width="12.7109375" customWidth="1"/>
    <col min="5891" max="5891" width="13.7109375" customWidth="1"/>
    <col min="5892" max="5897" width="12.7109375" customWidth="1"/>
    <col min="6145" max="6145" width="20.7109375" customWidth="1"/>
    <col min="6146" max="6146" width="12.7109375" customWidth="1"/>
    <col min="6147" max="6147" width="13.7109375" customWidth="1"/>
    <col min="6148" max="6153" width="12.7109375" customWidth="1"/>
    <col min="6401" max="6401" width="20.7109375" customWidth="1"/>
    <col min="6402" max="6402" width="12.7109375" customWidth="1"/>
    <col min="6403" max="6403" width="13.7109375" customWidth="1"/>
    <col min="6404" max="6409" width="12.7109375" customWidth="1"/>
    <col min="6657" max="6657" width="20.7109375" customWidth="1"/>
    <col min="6658" max="6658" width="12.7109375" customWidth="1"/>
    <col min="6659" max="6659" width="13.7109375" customWidth="1"/>
    <col min="6660" max="6665" width="12.7109375" customWidth="1"/>
    <col min="6913" max="6913" width="20.7109375" customWidth="1"/>
    <col min="6914" max="6914" width="12.7109375" customWidth="1"/>
    <col min="6915" max="6915" width="13.7109375" customWidth="1"/>
    <col min="6916" max="6921" width="12.7109375" customWidth="1"/>
    <col min="7169" max="7169" width="20.7109375" customWidth="1"/>
    <col min="7170" max="7170" width="12.7109375" customWidth="1"/>
    <col min="7171" max="7171" width="13.7109375" customWidth="1"/>
    <col min="7172" max="7177" width="12.7109375" customWidth="1"/>
    <col min="7425" max="7425" width="20.7109375" customWidth="1"/>
    <col min="7426" max="7426" width="12.7109375" customWidth="1"/>
    <col min="7427" max="7427" width="13.7109375" customWidth="1"/>
    <col min="7428" max="7433" width="12.7109375" customWidth="1"/>
    <col min="7681" max="7681" width="20.7109375" customWidth="1"/>
    <col min="7682" max="7682" width="12.7109375" customWidth="1"/>
    <col min="7683" max="7683" width="13.7109375" customWidth="1"/>
    <col min="7684" max="7689" width="12.7109375" customWidth="1"/>
    <col min="7937" max="7937" width="20.7109375" customWidth="1"/>
    <col min="7938" max="7938" width="12.7109375" customWidth="1"/>
    <col min="7939" max="7939" width="13.7109375" customWidth="1"/>
    <col min="7940" max="7945" width="12.7109375" customWidth="1"/>
    <col min="8193" max="8193" width="20.7109375" customWidth="1"/>
    <col min="8194" max="8194" width="12.7109375" customWidth="1"/>
    <col min="8195" max="8195" width="13.7109375" customWidth="1"/>
    <col min="8196" max="8201" width="12.7109375" customWidth="1"/>
    <col min="8449" max="8449" width="20.7109375" customWidth="1"/>
    <col min="8450" max="8450" width="12.7109375" customWidth="1"/>
    <col min="8451" max="8451" width="13.7109375" customWidth="1"/>
    <col min="8452" max="8457" width="12.7109375" customWidth="1"/>
    <col min="8705" max="8705" width="20.7109375" customWidth="1"/>
    <col min="8706" max="8706" width="12.7109375" customWidth="1"/>
    <col min="8707" max="8707" width="13.7109375" customWidth="1"/>
    <col min="8708" max="8713" width="12.7109375" customWidth="1"/>
    <col min="8961" max="8961" width="20.7109375" customWidth="1"/>
    <col min="8962" max="8962" width="12.7109375" customWidth="1"/>
    <col min="8963" max="8963" width="13.7109375" customWidth="1"/>
    <col min="8964" max="8969" width="12.7109375" customWidth="1"/>
    <col min="9217" max="9217" width="20.7109375" customWidth="1"/>
    <col min="9218" max="9218" width="12.7109375" customWidth="1"/>
    <col min="9219" max="9219" width="13.7109375" customWidth="1"/>
    <col min="9220" max="9225" width="12.7109375" customWidth="1"/>
    <col min="9473" max="9473" width="20.7109375" customWidth="1"/>
    <col min="9474" max="9474" width="12.7109375" customWidth="1"/>
    <col min="9475" max="9475" width="13.7109375" customWidth="1"/>
    <col min="9476" max="9481" width="12.7109375" customWidth="1"/>
    <col min="9729" max="9729" width="20.7109375" customWidth="1"/>
    <col min="9730" max="9730" width="12.7109375" customWidth="1"/>
    <col min="9731" max="9731" width="13.7109375" customWidth="1"/>
    <col min="9732" max="9737" width="12.7109375" customWidth="1"/>
    <col min="9985" max="9985" width="20.7109375" customWidth="1"/>
    <col min="9986" max="9986" width="12.7109375" customWidth="1"/>
    <col min="9987" max="9987" width="13.7109375" customWidth="1"/>
    <col min="9988" max="9993" width="12.7109375" customWidth="1"/>
    <col min="10241" max="10241" width="20.7109375" customWidth="1"/>
    <col min="10242" max="10242" width="12.7109375" customWidth="1"/>
    <col min="10243" max="10243" width="13.7109375" customWidth="1"/>
    <col min="10244" max="10249" width="12.7109375" customWidth="1"/>
    <col min="10497" max="10497" width="20.7109375" customWidth="1"/>
    <col min="10498" max="10498" width="12.7109375" customWidth="1"/>
    <col min="10499" max="10499" width="13.7109375" customWidth="1"/>
    <col min="10500" max="10505" width="12.7109375" customWidth="1"/>
    <col min="10753" max="10753" width="20.7109375" customWidth="1"/>
    <col min="10754" max="10754" width="12.7109375" customWidth="1"/>
    <col min="10755" max="10755" width="13.7109375" customWidth="1"/>
    <col min="10756" max="10761" width="12.7109375" customWidth="1"/>
    <col min="11009" max="11009" width="20.7109375" customWidth="1"/>
    <col min="11010" max="11010" width="12.7109375" customWidth="1"/>
    <col min="11011" max="11011" width="13.7109375" customWidth="1"/>
    <col min="11012" max="11017" width="12.7109375" customWidth="1"/>
    <col min="11265" max="11265" width="20.7109375" customWidth="1"/>
    <col min="11266" max="11266" width="12.7109375" customWidth="1"/>
    <col min="11267" max="11267" width="13.7109375" customWidth="1"/>
    <col min="11268" max="11273" width="12.7109375" customWidth="1"/>
    <col min="11521" max="11521" width="20.7109375" customWidth="1"/>
    <col min="11522" max="11522" width="12.7109375" customWidth="1"/>
    <col min="11523" max="11523" width="13.7109375" customWidth="1"/>
    <col min="11524" max="11529" width="12.7109375" customWidth="1"/>
    <col min="11777" max="11777" width="20.7109375" customWidth="1"/>
    <col min="11778" max="11778" width="12.7109375" customWidth="1"/>
    <col min="11779" max="11779" width="13.7109375" customWidth="1"/>
    <col min="11780" max="11785" width="12.7109375" customWidth="1"/>
    <col min="12033" max="12033" width="20.7109375" customWidth="1"/>
    <col min="12034" max="12034" width="12.7109375" customWidth="1"/>
    <col min="12035" max="12035" width="13.7109375" customWidth="1"/>
    <col min="12036" max="12041" width="12.7109375" customWidth="1"/>
    <col min="12289" max="12289" width="20.7109375" customWidth="1"/>
    <col min="12290" max="12290" width="12.7109375" customWidth="1"/>
    <col min="12291" max="12291" width="13.7109375" customWidth="1"/>
    <col min="12292" max="12297" width="12.7109375" customWidth="1"/>
    <col min="12545" max="12545" width="20.7109375" customWidth="1"/>
    <col min="12546" max="12546" width="12.7109375" customWidth="1"/>
    <col min="12547" max="12547" width="13.7109375" customWidth="1"/>
    <col min="12548" max="12553" width="12.7109375" customWidth="1"/>
    <col min="12801" max="12801" width="20.7109375" customWidth="1"/>
    <col min="12802" max="12802" width="12.7109375" customWidth="1"/>
    <col min="12803" max="12803" width="13.7109375" customWidth="1"/>
    <col min="12804" max="12809" width="12.7109375" customWidth="1"/>
    <col min="13057" max="13057" width="20.7109375" customWidth="1"/>
    <col min="13058" max="13058" width="12.7109375" customWidth="1"/>
    <col min="13059" max="13059" width="13.7109375" customWidth="1"/>
    <col min="13060" max="13065" width="12.7109375" customWidth="1"/>
    <col min="13313" max="13313" width="20.7109375" customWidth="1"/>
    <col min="13314" max="13314" width="12.7109375" customWidth="1"/>
    <col min="13315" max="13315" width="13.7109375" customWidth="1"/>
    <col min="13316" max="13321" width="12.7109375" customWidth="1"/>
    <col min="13569" max="13569" width="20.7109375" customWidth="1"/>
    <col min="13570" max="13570" width="12.7109375" customWidth="1"/>
    <col min="13571" max="13571" width="13.7109375" customWidth="1"/>
    <col min="13572" max="13577" width="12.7109375" customWidth="1"/>
    <col min="13825" max="13825" width="20.7109375" customWidth="1"/>
    <col min="13826" max="13826" width="12.7109375" customWidth="1"/>
    <col min="13827" max="13827" width="13.7109375" customWidth="1"/>
    <col min="13828" max="13833" width="12.7109375" customWidth="1"/>
    <col min="14081" max="14081" width="20.7109375" customWidth="1"/>
    <col min="14082" max="14082" width="12.7109375" customWidth="1"/>
    <col min="14083" max="14083" width="13.7109375" customWidth="1"/>
    <col min="14084" max="14089" width="12.7109375" customWidth="1"/>
    <col min="14337" max="14337" width="20.7109375" customWidth="1"/>
    <col min="14338" max="14338" width="12.7109375" customWidth="1"/>
    <col min="14339" max="14339" width="13.7109375" customWidth="1"/>
    <col min="14340" max="14345" width="12.7109375" customWidth="1"/>
    <col min="14593" max="14593" width="20.7109375" customWidth="1"/>
    <col min="14594" max="14594" width="12.7109375" customWidth="1"/>
    <col min="14595" max="14595" width="13.7109375" customWidth="1"/>
    <col min="14596" max="14601" width="12.7109375" customWidth="1"/>
    <col min="14849" max="14849" width="20.7109375" customWidth="1"/>
    <col min="14850" max="14850" width="12.7109375" customWidth="1"/>
    <col min="14851" max="14851" width="13.7109375" customWidth="1"/>
    <col min="14852" max="14857" width="12.7109375" customWidth="1"/>
    <col min="15105" max="15105" width="20.7109375" customWidth="1"/>
    <col min="15106" max="15106" width="12.7109375" customWidth="1"/>
    <col min="15107" max="15107" width="13.7109375" customWidth="1"/>
    <col min="15108" max="15113" width="12.7109375" customWidth="1"/>
    <col min="15361" max="15361" width="20.7109375" customWidth="1"/>
    <col min="15362" max="15362" width="12.7109375" customWidth="1"/>
    <col min="15363" max="15363" width="13.7109375" customWidth="1"/>
    <col min="15364" max="15369" width="12.7109375" customWidth="1"/>
    <col min="15617" max="15617" width="20.7109375" customWidth="1"/>
    <col min="15618" max="15618" width="12.7109375" customWidth="1"/>
    <col min="15619" max="15619" width="13.7109375" customWidth="1"/>
    <col min="15620" max="15625" width="12.7109375" customWidth="1"/>
    <col min="15873" max="15873" width="20.7109375" customWidth="1"/>
    <col min="15874" max="15874" width="12.7109375" customWidth="1"/>
    <col min="15875" max="15875" width="13.7109375" customWidth="1"/>
    <col min="15876" max="15881" width="12.7109375" customWidth="1"/>
    <col min="16129" max="16129" width="20.7109375" customWidth="1"/>
    <col min="16130" max="16130" width="12.7109375" customWidth="1"/>
    <col min="16131" max="16131" width="13.7109375" customWidth="1"/>
    <col min="16132" max="16137" width="12.7109375" customWidth="1"/>
  </cols>
  <sheetData>
    <row r="1" spans="1:9" s="31" customFormat="1" ht="18" customHeight="1" x14ac:dyDescent="0.25">
      <c r="A1" s="30" t="s">
        <v>43</v>
      </c>
      <c r="I1" s="32"/>
    </row>
    <row r="2" spans="1:9" s="31" customFormat="1" ht="21.95" customHeight="1" x14ac:dyDescent="0.35">
      <c r="A2" s="52" t="s">
        <v>77</v>
      </c>
      <c r="B2" s="53"/>
      <c r="C2" s="53"/>
      <c r="D2" s="53"/>
      <c r="E2" s="53"/>
      <c r="F2" s="53"/>
      <c r="G2" s="53"/>
      <c r="H2" s="53"/>
      <c r="I2" s="53"/>
    </row>
    <row r="3" spans="1:9" s="31" customFormat="1" ht="18" customHeight="1" x14ac:dyDescent="0.25">
      <c r="A3" s="31" t="s">
        <v>76</v>
      </c>
    </row>
    <row r="4" spans="1:9" s="31" customFormat="1" ht="18" customHeight="1" x14ac:dyDescent="0.25"/>
    <row r="5" spans="1:9" x14ac:dyDescent="0.2">
      <c r="B5" s="33" t="s">
        <v>44</v>
      </c>
      <c r="C5" s="33" t="s">
        <v>44</v>
      </c>
      <c r="D5" s="33" t="s">
        <v>44</v>
      </c>
      <c r="E5" s="33" t="s">
        <v>44</v>
      </c>
      <c r="F5" s="33" t="s">
        <v>30</v>
      </c>
      <c r="G5" s="33" t="s">
        <v>30</v>
      </c>
      <c r="H5" s="33" t="s">
        <v>30</v>
      </c>
      <c r="I5" s="33" t="s">
        <v>30</v>
      </c>
    </row>
    <row r="6" spans="1:9" x14ac:dyDescent="0.2">
      <c r="A6" s="34" t="s">
        <v>45</v>
      </c>
      <c r="B6" s="34" t="s">
        <v>46</v>
      </c>
      <c r="C6" s="34" t="s">
        <v>47</v>
      </c>
      <c r="D6" s="34" t="s">
        <v>48</v>
      </c>
      <c r="E6" s="34" t="s">
        <v>49</v>
      </c>
      <c r="F6" s="34" t="s">
        <v>50</v>
      </c>
      <c r="G6" s="34" t="s">
        <v>51</v>
      </c>
      <c r="H6" s="34" t="s">
        <v>52</v>
      </c>
      <c r="I6" s="34" t="s">
        <v>49</v>
      </c>
    </row>
    <row r="8" spans="1:9" x14ac:dyDescent="0.2">
      <c r="B8" s="35"/>
      <c r="C8" s="35"/>
      <c r="D8" s="35"/>
      <c r="E8" s="35"/>
      <c r="F8" s="35"/>
      <c r="G8" s="35"/>
      <c r="H8" s="35"/>
      <c r="I8" s="35"/>
    </row>
    <row r="9" spans="1:9" ht="15.75" thickBot="1" x14ac:dyDescent="0.3">
      <c r="A9" s="36" t="s">
        <v>53</v>
      </c>
      <c r="B9" s="37">
        <v>28400371.059999999</v>
      </c>
      <c r="C9" s="37">
        <v>0</v>
      </c>
      <c r="D9" s="37">
        <v>0</v>
      </c>
      <c r="E9" s="37">
        <v>28400371.059999999</v>
      </c>
      <c r="F9" s="37">
        <v>18635361.59</v>
      </c>
      <c r="G9" s="37">
        <v>726853.73</v>
      </c>
      <c r="H9" s="37">
        <v>0</v>
      </c>
      <c r="I9" s="37">
        <v>19362215.32</v>
      </c>
    </row>
    <row r="10" spans="1:9" ht="13.5" thickTop="1" x14ac:dyDescent="0.2"/>
    <row r="11" spans="1:9" x14ac:dyDescent="0.2">
      <c r="G11" s="17">
        <f>+G9/12</f>
        <v>60571.144166666665</v>
      </c>
      <c r="H11" s="18" t="s">
        <v>70</v>
      </c>
    </row>
  </sheetData>
  <mergeCells count="1">
    <mergeCell ref="A2:I2"/>
  </mergeCells>
  <pageMargins left="0.7" right="0.7" top="0.75" bottom="0.75" header="0.3" footer="0.3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4:C4"/>
  <sheetViews>
    <sheetView workbookViewId="0">
      <selection activeCell="C5" sqref="C5"/>
    </sheetView>
  </sheetViews>
  <sheetFormatPr defaultRowHeight="12.75" x14ac:dyDescent="0.2"/>
  <cols>
    <col min="2" max="2" width="11.28515625" bestFit="1" customWidth="1"/>
  </cols>
  <sheetData>
    <row r="4" spans="2:3" x14ac:dyDescent="0.2">
      <c r="B4" s="17">
        <v>54912.59</v>
      </c>
      <c r="C4" s="18" t="s">
        <v>82</v>
      </c>
    </row>
  </sheetData>
  <pageMargins left="0.7" right="0.7" top="0.75" bottom="0.75" header="0.3" footer="0.3"/>
  <pageSetup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2024 HCHD Budget</vt:lpstr>
      <vt:lpstr>Budget Comparison</vt:lpstr>
      <vt:lpstr>Tax Revenue</vt:lpstr>
      <vt:lpstr>InterestExp</vt:lpstr>
      <vt:lpstr>Depreciation</vt:lpstr>
      <vt:lpstr>Appraisal Fees</vt:lpstr>
      <vt:lpstr>'Budget Comparison'!Print_Area</vt:lpstr>
    </vt:vector>
  </TitlesOfParts>
  <Company>GPCH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BAILEY</dc:creator>
  <cp:lastModifiedBy>Dina Hermes</cp:lastModifiedBy>
  <cp:lastPrinted>2021-08-25T22:09:58Z</cp:lastPrinted>
  <dcterms:created xsi:type="dcterms:W3CDTF">2004-02-19T20:39:32Z</dcterms:created>
  <dcterms:modified xsi:type="dcterms:W3CDTF">2023-12-19T08:33:19Z</dcterms:modified>
</cp:coreProperties>
</file>